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<sst xmlns="http://schemas.openxmlformats.org/spreadsheetml/2006/main" count="418" uniqueCount="154">
  <si>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</si>
  <si>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</si>
  <si>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</si>
  <si>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</si>
  <si>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</si>
  <si>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</si>
  <si>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</si>
  <si>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</si>
  <si>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</si>
  <si>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</si>
  <si>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</si>
  <si>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</si>
  <si>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</si>
  <si>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</si>
  <si>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</si>
  <si>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</si>
  <si>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</si>
  <si>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</si>
  <si>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</si>
  <si>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</si>
  <si>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</si>
  <si>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</si>
  <si>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</si>
  <si>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</si>
  <si>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</si>
  <si>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</si>
  <si>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</si>
  <si>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</si>
  <si>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</si>
  <si>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</si>
  <si>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</si>
  <si>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</si>
  <si>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</si>
  <si>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</si>
  <si>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</si>
  <si>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</si>
  <si>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</si>
  <si>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</si>
  <si>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</si>
  <si>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</si>
  <si>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</si>
  <si>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</si>
  <si>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</si>
  <si>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</si>
  <si>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</si>
  <si>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</si>
  <si>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</si>
  <si>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</si>
  <si>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</si>
  <si>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</si>
  <si>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</si>
  <si>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</si>
  <si>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</si>
  <si>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</si>
  <si>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</si>
  <si>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</si>
  <si>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</si>
  <si>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</si>
  <si>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</si>
  <si>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</si>
  <si>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</si>
  <si>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</si>
  <si>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</si>
  <si>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</si>
  <si>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</si>
  <si>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</si>
  <si>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</si>
  <si>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</si>
  <si>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</si>
  <si>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</si>
  <si>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</si>
  <si>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</si>
  <si>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</si>
  <si>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</si>
  <si>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</si>
  <si>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</si>
  <si>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</si>
  <si>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</si>
  <si>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</si>
  <si>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</si>
  <si>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</si>
  <si>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</si>
  <si>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</si>
  <si>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</si>
  <si>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</si>
  <si>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</si>
  <si>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</si>
  <si>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</si>
  <si>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</si>
  <si>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</si>
  <si>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</si>
  <si>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</si>
  <si>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</si>
  <si>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</si>
  <si>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</si>
  <si>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</si>
  <si>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</si>
  <si>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</si>
  <si>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</si>
  <si>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</si>
  <si>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</si>
  <si>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</si>
  <si>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</si>
  <si>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</si>
  <si>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</si>
  <si>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</si>
  <si>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</si>
  <si>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</si>
  <si>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</si>
  <si>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</si>
  <si>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</si>
  <si>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</si>
  <si>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</si>
  <si>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</si>
  <si>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</si>
  <si>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</si>
  <si>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</si>
  <si>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</si>
  <si>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</si>
  <si>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</si>
  <si>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</si>
  <si>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</si>
  <si>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</si>
  <si>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</si>
  <si>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</si>
  <si>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</si>
  <si>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</si>
  <si>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</si>
  <si>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</si>
  <si>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</si>
  <si>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</si>
  <si>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</si>
  <si>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</si>
  <si>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</si>
  <si>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</si>
  <si>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</si>
  <si>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</si>
  <si>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</si>
  <si>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</si>
  <si>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</si>
  <si>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</si>
  <si>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</si>
  <si>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</si>
  <si>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</si>
  <si>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</si>
  <si>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2018 год</t>
  </si>
  <si>
    <t xml:space="preserve">   2018 год</t>
  </si>
  <si>
    <t>- за выдачу разрешения на установку рекламной конструкции (150)</t>
  </si>
  <si>
    <t>Первоначальный план</t>
  </si>
  <si>
    <t xml:space="preserve">  </t>
  </si>
  <si>
    <t>Исполнение  бюджета Белокалитвинского района по доходам на 01.01.2019 года с закл. об.</t>
  </si>
  <si>
    <t>по состоянию на 01.01.2019 года</t>
  </si>
  <si>
    <t>субсидия</t>
  </si>
  <si>
    <t xml:space="preserve">по состоянию на 01.01.2019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</si>
</sst>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6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8" borderId="36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8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8" borderId="36" xfId="0" applyNumberFormat="1" applyFont="1" applyFill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9" xfId="0" applyNumberFormat="1" applyFont="1" applyFill="1" applyBorder="1" applyAlignment="1">
      <alignment/>
    </xf>
    <xf numFmtId="0" fontId="11" fillId="38" borderId="3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172" fontId="3" fillId="12" borderId="10" xfId="0" applyNumberFormat="1" applyFont="1" applyFill="1" applyBorder="1" applyAlignment="1" applyProtection="1">
      <alignment horizontal="right"/>
      <protection/>
    </xf>
    <xf numFmtId="172" fontId="2" fillId="12" borderId="15" xfId="0" applyNumberFormat="1" applyFont="1" applyFill="1" applyBorder="1" applyAlignment="1" applyProtection="1">
      <alignment horizontal="right"/>
      <protection/>
    </xf>
    <xf numFmtId="172" fontId="3" fillId="12" borderId="15" xfId="0" applyNumberFormat="1" applyFont="1" applyFill="1" applyBorder="1" applyAlignment="1" applyProtection="1">
      <alignment horizontal="right"/>
      <protection/>
    </xf>
    <xf numFmtId="172" fontId="0" fillId="36" borderId="14" xfId="0" applyNumberFormat="1" applyFont="1" applyFill="1" applyBorder="1" applyAlignment="1">
      <alignment/>
    </xf>
    <xf numFmtId="172" fontId="11" fillId="36" borderId="14" xfId="0" applyNumberFormat="1" applyFont="1" applyFill="1" applyBorder="1" applyAlignment="1">
      <alignment/>
    </xf>
    <xf numFmtId="172" fontId="3" fillId="41" borderId="13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2" fillId="41" borderId="36" xfId="0" applyNumberFormat="1" applyFont="1" applyFill="1" applyBorder="1" applyAlignment="1">
      <alignment horizontal="right"/>
    </xf>
    <xf numFmtId="172" fontId="3" fillId="41" borderId="10" xfId="0" applyNumberFormat="1" applyFont="1" applyFill="1" applyBorder="1" applyAlignment="1">
      <alignment/>
    </xf>
    <xf numFmtId="172" fontId="3" fillId="41" borderId="12" xfId="0" applyNumberFormat="1" applyFont="1" applyFill="1" applyBorder="1" applyAlignment="1">
      <alignment/>
    </xf>
    <xf numFmtId="172" fontId="3" fillId="41" borderId="13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 horizontal="right"/>
    </xf>
    <xf numFmtId="172" fontId="2" fillId="41" borderId="11" xfId="0" applyNumberFormat="1" applyFont="1" applyFill="1" applyBorder="1" applyAlignment="1">
      <alignment horizontal="right"/>
    </xf>
    <xf numFmtId="172" fontId="3" fillId="41" borderId="12" xfId="0" applyNumberFormat="1" applyFont="1" applyFill="1" applyBorder="1" applyAlignment="1">
      <alignment horizontal="right"/>
    </xf>
    <xf numFmtId="172" fontId="3" fillId="41" borderId="16" xfId="0" applyNumberFormat="1" applyFont="1" applyFill="1" applyBorder="1" applyAlignment="1">
      <alignment/>
    </xf>
    <xf numFmtId="172" fontId="3" fillId="41" borderId="21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72" fontId="11" fillId="36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0" fillId="4" borderId="10" xfId="0" applyNumberForma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0" fontId="2" fillId="41" borderId="12" xfId="0" applyFont="1" applyFill="1" applyBorder="1" applyAlignment="1">
      <alignment/>
    </xf>
    <xf numFmtId="172" fontId="2" fillId="41" borderId="12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7" borderId="40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43" xfId="0" applyFont="1" applyFill="1" applyBorder="1" applyAlignment="1">
      <alignment horizontal="center"/>
    </xf>
    <xf numFmtId="0" fontId="26" fillId="35" borderId="44" xfId="0" applyFont="1" applyFill="1" applyBorder="1" applyAlignment="1">
      <alignment horizontal="center"/>
    </xf>
    <xf numFmtId="0" fontId="26" fillId="35" borderId="45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/>
    </xf>
    <xf numFmtId="0" fontId="26" fillId="35" borderId="42" xfId="0" applyFont="1" applyFill="1" applyBorder="1" applyAlignment="1">
      <alignment horizontal="center"/>
    </xf>
    <xf numFmtId="0" fontId="26" fillId="35" borderId="46" xfId="0" applyFont="1" applyFill="1" applyBorder="1" applyAlignment="1">
      <alignment horizontal="center"/>
    </xf>
    <xf numFmtId="0" fontId="26" fillId="35" borderId="47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38" borderId="42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0" fillId="36" borderId="42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5" fillId="0" borderId="39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2" fillId="41" borderId="10" xfId="0" applyFont="1" applyFill="1" applyBorder="1" applyAlignment="1">
      <alignment/>
    </xf>
    <xf numFmtId="0" fontId="8" fillId="41" borderId="49" xfId="0" applyFont="1" applyFill="1" applyBorder="1" applyAlignment="1">
      <alignment horizontal="center" wrapText="1"/>
    </xf>
    <xf numFmtId="0" fontId="8" fillId="41" borderId="50" xfId="0" applyFont="1" applyFill="1" applyBorder="1" applyAlignment="1">
      <alignment horizontal="center" wrapText="1"/>
    </xf>
    <xf numFmtId="0" fontId="8" fillId="41" borderId="56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9.75390625" style="47" customWidth="1"/>
    <col min="6" max="7" width="13.00390625" style="47" hidden="1" customWidth="1"/>
    <col min="8" max="8" width="11.75390625" style="47" hidden="1" customWidth="1"/>
    <col min="9" max="9" width="11.00390625" style="47" hidden="1" customWidth="1"/>
    <col min="10" max="11" width="11.37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5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2.25390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16384" width="9.125" style="47" customWidth="1"/>
  </cols>
  <sheetData>
    <row r="1" spans="1:49" s="1" customFormat="1" ht="47.25" customHeight="1" thickBot="1">
      <c r="A1" s="465" t="s">
        <v>150</v>
      </c>
      <c r="B1" s="465"/>
      <c r="C1" s="465"/>
      <c r="D1" s="465"/>
      <c r="E1" s="465"/>
      <c r="Q1" s="225"/>
      <c r="V1" s="2"/>
      <c r="W1" s="2"/>
      <c r="X1" s="2"/>
      <c r="Y1" s="2"/>
      <c r="AW1" s="2"/>
    </row>
    <row r="2" spans="1:77" s="4" customFormat="1" ht="21" customHeight="1">
      <c r="A2" s="392" t="s">
        <v>0</v>
      </c>
      <c r="B2" s="394" t="s">
        <v>145</v>
      </c>
      <c r="C2" s="395"/>
      <c r="D2" s="395"/>
      <c r="E2" s="396"/>
      <c r="F2" s="397" t="s">
        <v>1</v>
      </c>
      <c r="G2" s="398"/>
      <c r="H2" s="398"/>
      <c r="I2" s="384"/>
      <c r="J2" s="399" t="s">
        <v>2</v>
      </c>
      <c r="K2" s="400"/>
      <c r="L2" s="400"/>
      <c r="M2" s="401"/>
      <c r="N2" s="376" t="s">
        <v>3</v>
      </c>
      <c r="O2" s="373"/>
      <c r="P2" s="373"/>
      <c r="Q2" s="373"/>
      <c r="R2" s="373" t="s">
        <v>4</v>
      </c>
      <c r="S2" s="373"/>
      <c r="T2" s="373"/>
      <c r="U2" s="373"/>
      <c r="V2" s="373" t="s">
        <v>5</v>
      </c>
      <c r="W2" s="373"/>
      <c r="X2" s="373"/>
      <c r="Y2" s="373"/>
      <c r="Z2" s="370" t="s">
        <v>6</v>
      </c>
      <c r="AA2" s="405"/>
      <c r="AB2" s="405"/>
      <c r="AC2" s="379"/>
      <c r="AD2" s="366" t="s">
        <v>103</v>
      </c>
      <c r="AE2" s="406"/>
      <c r="AF2" s="406"/>
      <c r="AG2" s="376"/>
      <c r="AH2" s="366" t="s">
        <v>7</v>
      </c>
      <c r="AI2" s="406"/>
      <c r="AJ2" s="406"/>
      <c r="AK2" s="376"/>
      <c r="AL2" s="373" t="s">
        <v>8</v>
      </c>
      <c r="AM2" s="373"/>
      <c r="AN2" s="373"/>
      <c r="AO2" s="373"/>
      <c r="AP2" s="407" t="s">
        <v>9</v>
      </c>
      <c r="AQ2" s="407"/>
      <c r="AR2" s="407"/>
      <c r="AS2" s="408"/>
      <c r="AT2" s="409" t="s">
        <v>10</v>
      </c>
      <c r="AU2" s="410"/>
      <c r="AV2" s="410"/>
      <c r="AW2" s="411"/>
      <c r="AX2" s="412" t="s">
        <v>11</v>
      </c>
      <c r="AY2" s="413"/>
      <c r="AZ2" s="413"/>
      <c r="BA2" s="414"/>
      <c r="BB2" s="412" t="s">
        <v>12</v>
      </c>
      <c r="BC2" s="413"/>
      <c r="BD2" s="413"/>
      <c r="BE2" s="414"/>
      <c r="BF2" s="413" t="s">
        <v>13</v>
      </c>
      <c r="BG2" s="413"/>
      <c r="BH2" s="413"/>
      <c r="BI2" s="414"/>
      <c r="BJ2" s="410" t="s">
        <v>14</v>
      </c>
      <c r="BK2" s="410"/>
      <c r="BL2" s="410"/>
      <c r="BM2" s="411"/>
      <c r="BN2" s="412" t="s">
        <v>104</v>
      </c>
      <c r="BO2" s="413"/>
      <c r="BP2" s="413"/>
      <c r="BQ2" s="413"/>
      <c r="BR2" s="415" t="s">
        <v>105</v>
      </c>
      <c r="BS2" s="415"/>
      <c r="BT2" s="415"/>
      <c r="BU2" s="415"/>
      <c r="BV2" s="416" t="s">
        <v>15</v>
      </c>
      <c r="BW2" s="415"/>
      <c r="BX2" s="415"/>
      <c r="BY2" s="415"/>
    </row>
    <row r="3" spans="1:77" s="4" customFormat="1" ht="19.5" customHeight="1">
      <c r="A3" s="393"/>
      <c r="B3" s="417" t="s">
        <v>16</v>
      </c>
      <c r="C3" s="372" t="s">
        <v>17</v>
      </c>
      <c r="D3" s="420" t="s">
        <v>18</v>
      </c>
      <c r="E3" s="421"/>
      <c r="F3" s="422" t="s">
        <v>16</v>
      </c>
      <c r="G3" s="423" t="s">
        <v>17</v>
      </c>
      <c r="H3" s="424" t="s">
        <v>18</v>
      </c>
      <c r="I3" s="425"/>
      <c r="J3" s="426" t="s">
        <v>16</v>
      </c>
      <c r="K3" s="427" t="s">
        <v>17</v>
      </c>
      <c r="L3" s="402" t="s">
        <v>18</v>
      </c>
      <c r="M3" s="403"/>
      <c r="N3" s="404" t="s">
        <v>16</v>
      </c>
      <c r="O3" s="372" t="s">
        <v>17</v>
      </c>
      <c r="P3" s="373" t="s">
        <v>18</v>
      </c>
      <c r="Q3" s="373"/>
      <c r="R3" s="372" t="s">
        <v>16</v>
      </c>
      <c r="S3" s="372" t="s">
        <v>17</v>
      </c>
      <c r="T3" s="373" t="s">
        <v>18</v>
      </c>
      <c r="U3" s="373"/>
      <c r="V3" s="372" t="s">
        <v>16</v>
      </c>
      <c r="W3" s="372" t="s">
        <v>17</v>
      </c>
      <c r="X3" s="373" t="s">
        <v>18</v>
      </c>
      <c r="Y3" s="373"/>
      <c r="Z3" s="377" t="s">
        <v>16</v>
      </c>
      <c r="AA3" s="377" t="s">
        <v>17</v>
      </c>
      <c r="AB3" s="370" t="s">
        <v>18</v>
      </c>
      <c r="AC3" s="379"/>
      <c r="AD3" s="374" t="s">
        <v>16</v>
      </c>
      <c r="AE3" s="374" t="s">
        <v>17</v>
      </c>
      <c r="AF3" s="366" t="s">
        <v>18</v>
      </c>
      <c r="AG3" s="376"/>
      <c r="AH3" s="374" t="s">
        <v>16</v>
      </c>
      <c r="AI3" s="374" t="s">
        <v>17</v>
      </c>
      <c r="AJ3" s="366" t="s">
        <v>18</v>
      </c>
      <c r="AK3" s="376"/>
      <c r="AL3" s="372" t="s">
        <v>16</v>
      </c>
      <c r="AM3" s="372" t="s">
        <v>17</v>
      </c>
      <c r="AN3" s="373" t="s">
        <v>18</v>
      </c>
      <c r="AO3" s="373"/>
      <c r="AP3" s="380" t="s">
        <v>16</v>
      </c>
      <c r="AQ3" s="382" t="s">
        <v>17</v>
      </c>
      <c r="AR3" s="384" t="s">
        <v>18</v>
      </c>
      <c r="AS3" s="385"/>
      <c r="AT3" s="428" t="s">
        <v>16</v>
      </c>
      <c r="AU3" s="377" t="s">
        <v>17</v>
      </c>
      <c r="AV3" s="370" t="s">
        <v>18</v>
      </c>
      <c r="AW3" s="371"/>
      <c r="AX3" s="386" t="s">
        <v>16</v>
      </c>
      <c r="AY3" s="374" t="s">
        <v>17</v>
      </c>
      <c r="AZ3" s="366" t="s">
        <v>18</v>
      </c>
      <c r="BA3" s="367"/>
      <c r="BB3" s="386" t="s">
        <v>16</v>
      </c>
      <c r="BC3" s="374" t="s">
        <v>17</v>
      </c>
      <c r="BD3" s="366" t="s">
        <v>18</v>
      </c>
      <c r="BE3" s="367"/>
      <c r="BF3" s="388" t="s">
        <v>16</v>
      </c>
      <c r="BG3" s="374" t="s">
        <v>17</v>
      </c>
      <c r="BH3" s="366" t="s">
        <v>18</v>
      </c>
      <c r="BI3" s="367"/>
      <c r="BJ3" s="390" t="s">
        <v>16</v>
      </c>
      <c r="BK3" s="368" t="s">
        <v>17</v>
      </c>
      <c r="BL3" s="370" t="s">
        <v>18</v>
      </c>
      <c r="BM3" s="371"/>
      <c r="BN3" s="386" t="s">
        <v>16</v>
      </c>
      <c r="BO3" s="374" t="s">
        <v>17</v>
      </c>
      <c r="BP3" s="366" t="s">
        <v>18</v>
      </c>
      <c r="BQ3" s="406"/>
      <c r="BR3" s="430" t="s">
        <v>16</v>
      </c>
      <c r="BS3" s="430" t="s">
        <v>17</v>
      </c>
      <c r="BT3" s="415" t="s">
        <v>18</v>
      </c>
      <c r="BU3" s="415"/>
      <c r="BV3" s="431" t="s">
        <v>16</v>
      </c>
      <c r="BW3" s="430" t="s">
        <v>17</v>
      </c>
      <c r="BX3" s="415" t="s">
        <v>18</v>
      </c>
      <c r="BY3" s="415"/>
    </row>
    <row r="4" spans="1:77" s="4" customFormat="1" ht="16.5" customHeight="1">
      <c r="A4" s="393"/>
      <c r="B4" s="418"/>
      <c r="C4" s="419"/>
      <c r="D4" s="226" t="s">
        <v>19</v>
      </c>
      <c r="E4" s="230" t="s">
        <v>20</v>
      </c>
      <c r="F4" s="422"/>
      <c r="G4" s="423"/>
      <c r="H4" s="466" t="s">
        <v>19</v>
      </c>
      <c r="I4" s="467" t="s">
        <v>20</v>
      </c>
      <c r="J4" s="426"/>
      <c r="K4" s="427"/>
      <c r="L4" s="228" t="s">
        <v>19</v>
      </c>
      <c r="M4" s="229" t="s">
        <v>20</v>
      </c>
      <c r="N4" s="404"/>
      <c r="O4" s="372"/>
      <c r="P4" s="226" t="s">
        <v>19</v>
      </c>
      <c r="Q4" s="231" t="s">
        <v>20</v>
      </c>
      <c r="R4" s="372"/>
      <c r="S4" s="372"/>
      <c r="T4" s="226" t="s">
        <v>19</v>
      </c>
      <c r="U4" s="3" t="s">
        <v>20</v>
      </c>
      <c r="V4" s="372"/>
      <c r="W4" s="372"/>
      <c r="X4" s="226" t="s">
        <v>19</v>
      </c>
      <c r="Y4" s="3" t="s">
        <v>20</v>
      </c>
      <c r="Z4" s="378"/>
      <c r="AA4" s="378"/>
      <c r="AB4" s="228" t="s">
        <v>19</v>
      </c>
      <c r="AC4" s="228" t="s">
        <v>20</v>
      </c>
      <c r="AD4" s="375"/>
      <c r="AE4" s="375"/>
      <c r="AF4" s="226" t="s">
        <v>19</v>
      </c>
      <c r="AG4" s="226" t="s">
        <v>20</v>
      </c>
      <c r="AH4" s="375"/>
      <c r="AI4" s="375"/>
      <c r="AJ4" s="226" t="s">
        <v>19</v>
      </c>
      <c r="AK4" s="226" t="s">
        <v>20</v>
      </c>
      <c r="AL4" s="372"/>
      <c r="AM4" s="372"/>
      <c r="AN4" s="226" t="s">
        <v>19</v>
      </c>
      <c r="AO4" s="226" t="s">
        <v>20</v>
      </c>
      <c r="AP4" s="381"/>
      <c r="AQ4" s="383"/>
      <c r="AR4" s="363" t="s">
        <v>19</v>
      </c>
      <c r="AS4" s="232" t="s">
        <v>20</v>
      </c>
      <c r="AT4" s="429"/>
      <c r="AU4" s="378"/>
      <c r="AV4" s="228" t="s">
        <v>19</v>
      </c>
      <c r="AW4" s="229" t="s">
        <v>20</v>
      </c>
      <c r="AX4" s="387"/>
      <c r="AY4" s="375"/>
      <c r="AZ4" s="226" t="s">
        <v>19</v>
      </c>
      <c r="BA4" s="227" t="s">
        <v>20</v>
      </c>
      <c r="BB4" s="387"/>
      <c r="BC4" s="375"/>
      <c r="BD4" s="226" t="s">
        <v>19</v>
      </c>
      <c r="BE4" s="230" t="s">
        <v>20</v>
      </c>
      <c r="BF4" s="389"/>
      <c r="BG4" s="375"/>
      <c r="BH4" s="226" t="s">
        <v>19</v>
      </c>
      <c r="BI4" s="230" t="s">
        <v>20</v>
      </c>
      <c r="BJ4" s="391"/>
      <c r="BK4" s="369"/>
      <c r="BL4" s="228" t="s">
        <v>19</v>
      </c>
      <c r="BM4" s="229" t="s">
        <v>20</v>
      </c>
      <c r="BN4" s="387"/>
      <c r="BO4" s="375"/>
      <c r="BP4" s="226" t="s">
        <v>19</v>
      </c>
      <c r="BQ4" s="227" t="s">
        <v>20</v>
      </c>
      <c r="BR4" s="430"/>
      <c r="BS4" s="430"/>
      <c r="BT4" s="3" t="s">
        <v>19</v>
      </c>
      <c r="BU4" s="3" t="s">
        <v>20</v>
      </c>
      <c r="BV4" s="431"/>
      <c r="BW4" s="430"/>
      <c r="BX4" s="3" t="s">
        <v>19</v>
      </c>
      <c r="BY4" s="3" t="s">
        <v>20</v>
      </c>
    </row>
    <row r="5" spans="1:78" s="21" customFormat="1" ht="18.75">
      <c r="A5" s="5" t="s">
        <v>106</v>
      </c>
      <c r="B5" s="6">
        <f>B6+B7+B8+B12+B21+B24+B31+B33+B35+B38+B39</f>
        <v>485558.60000000003</v>
      </c>
      <c r="C5" s="7">
        <f>C6+C7+C8+C12+C21+C24+C31+C33+C35+C38+C39</f>
        <v>523267.69999999995</v>
      </c>
      <c r="D5" s="8">
        <f aca="true" t="shared" si="0" ref="D5:D39">C5-B5</f>
        <v>37709.09999999992</v>
      </c>
      <c r="E5" s="20">
        <f aca="true" t="shared" si="1" ref="E5:E38">C5/B5%</f>
        <v>107.7661275075758</v>
      </c>
      <c r="F5" s="9">
        <f aca="true" t="shared" si="2" ref="F5:G37">J5+Z5</f>
        <v>216926.7</v>
      </c>
      <c r="G5" s="10">
        <f t="shared" si="2"/>
        <v>226100.2</v>
      </c>
      <c r="H5" s="10">
        <f aca="true" t="shared" si="3" ref="H5:H37">G5-F5</f>
        <v>9173.5</v>
      </c>
      <c r="I5" s="11">
        <f aca="true" t="shared" si="4" ref="I5:I11">G5/F5%</f>
        <v>104.22884780896034</v>
      </c>
      <c r="J5" s="12">
        <f>J6+J7+J8+J12+J21+J24+J31+J33+J35+J38+J39</f>
        <v>96679.80000000002</v>
      </c>
      <c r="K5" s="12">
        <f>K6+K7+K8+K12+K21+K24+K31+K33+K35+K38+K39</f>
        <v>97246.59999999999</v>
      </c>
      <c r="L5" s="468">
        <f aca="true" t="shared" si="5" ref="L5:L37">K5-J5</f>
        <v>566.7999999999738</v>
      </c>
      <c r="M5" s="469">
        <f aca="true" t="shared" si="6" ref="M5:M20">K5/J5%</f>
        <v>100.58626517638635</v>
      </c>
      <c r="N5" s="13">
        <f>N6+N7+N8+N12+N21+N24+N31+N33+N35+N38+N39</f>
        <v>24081.5</v>
      </c>
      <c r="O5" s="13">
        <f>O6+O7+O8+O12+O21+O24+O31+O33+O35+O38+O39</f>
        <v>26923.899999999998</v>
      </c>
      <c r="P5" s="7">
        <f aca="true" t="shared" si="7" ref="P5:P21">O5-N5</f>
        <v>2842.399999999998</v>
      </c>
      <c r="Q5" s="7">
        <f aca="true" t="shared" si="8" ref="Q5:Q20">O5/N5%</f>
        <v>111.80325145858853</v>
      </c>
      <c r="R5" s="13">
        <f>R6+R7+R8+R12+R21+R24+R31+R33+R35+R38+R39</f>
        <v>33227.299999999996</v>
      </c>
      <c r="S5" s="13">
        <f>S6+S7+S8+S12+S21+S24+S31+S33+S35+S38+S39</f>
        <v>32568.2</v>
      </c>
      <c r="T5" s="7">
        <f aca="true" t="shared" si="9" ref="T5:T38">S5-R5</f>
        <v>-659.0999999999949</v>
      </c>
      <c r="U5" s="7">
        <f>S5/R5%</f>
        <v>98.0163901370259</v>
      </c>
      <c r="V5" s="13">
        <f>V6+V7+V8+V12+V21+V24+V31+V33+V35+V38+V39</f>
        <v>39371</v>
      </c>
      <c r="W5" s="13">
        <f>W6+W7+W8+W12+W21+W24+W31+W33+W35+W38+W39</f>
        <v>37754.5</v>
      </c>
      <c r="X5" s="7">
        <f aca="true" t="shared" si="10" ref="X5:X38">W5-V5</f>
        <v>-1616.5</v>
      </c>
      <c r="Y5" s="7">
        <f aca="true" t="shared" si="11" ref="Y5:Y30">W5/V5%</f>
        <v>95.89418607604583</v>
      </c>
      <c r="Z5" s="12">
        <f>Z6+Z7+Z8+Z12+Z21+Z24+Z31+Z33+Z35+Z38+Z39</f>
        <v>120246.9</v>
      </c>
      <c r="AA5" s="12">
        <f>AA6+AA7+AA8+AA12+AA21+AA24+AA31+AA33+AA35+AA38+AA39</f>
        <v>128853.60000000002</v>
      </c>
      <c r="AB5" s="468">
        <f>AA5-Z5</f>
        <v>8606.700000000026</v>
      </c>
      <c r="AC5" s="468">
        <f>AA5/Z5%</f>
        <v>107.15752339561354</v>
      </c>
      <c r="AD5" s="13">
        <f>AD6+AD7+AD8+AD12+AD21+AD24+AD31+AD33+AD35+AD38+AD39</f>
        <v>37033.6</v>
      </c>
      <c r="AE5" s="13">
        <f>AE6+AE7+AE8+AE12+AE21+AE24+AE31+AE33+AE35+AE38+AE39</f>
        <v>45420.700000000004</v>
      </c>
      <c r="AF5" s="7">
        <f>AE5-AD5</f>
        <v>8387.100000000006</v>
      </c>
      <c r="AG5" s="7">
        <f>AE5/AD5%</f>
        <v>122.64727166681068</v>
      </c>
      <c r="AH5" s="13">
        <f>AH6+AH7+AH8+AH12+AH21+AH24+AH31+AH33+AH35+AH38+AH39</f>
        <v>32744.3</v>
      </c>
      <c r="AI5" s="13">
        <f>AI6+AI7+AI8+AI12+AI21+AI24+AI31+AI33+AI35+AI38+AI39</f>
        <v>37962.99999999999</v>
      </c>
      <c r="AJ5" s="7">
        <f aca="true" t="shared" si="12" ref="AJ5:AJ38">AI5-AH5</f>
        <v>5218.699999999993</v>
      </c>
      <c r="AK5" s="7">
        <f>AI5/AH5%</f>
        <v>115.93773572805036</v>
      </c>
      <c r="AL5" s="13">
        <f>AL6+AL7+AL8+AL12+AL21+AL24+AL31+AL33+AL35+AL38+AL39</f>
        <v>50469</v>
      </c>
      <c r="AM5" s="13">
        <f>AM6+AM7+AM8+AM12+AM21+AM24+AM31+AM33+AM35+AM38+AM39</f>
        <v>45469.9</v>
      </c>
      <c r="AN5" s="7">
        <f aca="true" t="shared" si="13" ref="AN5:AN38">AM5-AL5</f>
        <v>-4999.0999999999985</v>
      </c>
      <c r="AO5" s="7">
        <f aca="true" t="shared" si="14" ref="AO5:AO32">AM5/AL5%</f>
        <v>90.09471160514376</v>
      </c>
      <c r="AP5" s="14">
        <f>J5+Z5+AT5</f>
        <v>350381.4</v>
      </c>
      <c r="AQ5" s="14">
        <f>K5+AA5+AU5</f>
        <v>366918.80000000005</v>
      </c>
      <c r="AR5" s="15">
        <f aca="true" t="shared" si="15" ref="AR5:AR37">AQ5-AP5</f>
        <v>16537.400000000023</v>
      </c>
      <c r="AS5" s="16">
        <f aca="true" t="shared" si="16" ref="AS5:AS11">AQ5/AP5%</f>
        <v>104.71982816439457</v>
      </c>
      <c r="AT5" s="12">
        <f>AT6+AT7+AT8+AT12+AT21+AT24+AT31+AT33+AT35+AT38+AT39</f>
        <v>133454.69999999998</v>
      </c>
      <c r="AU5" s="12">
        <f>AU6+AU7+AU8+AU12+AU21+AU24+AU31+AU33+AU35+AU38+AU39</f>
        <v>140818.6</v>
      </c>
      <c r="AV5" s="468">
        <f>AU5-AT5</f>
        <v>7363.900000000023</v>
      </c>
      <c r="AW5" s="17">
        <f aca="true" t="shared" si="17" ref="AW5:AW10">AU5/AT5%</f>
        <v>105.51790232940468</v>
      </c>
      <c r="AX5" s="13">
        <f>AX6+AX7+AX8+AX12+AX21+AX24+AX31+AX33+AX35+AX38+AX39</f>
        <v>42872.90000000001</v>
      </c>
      <c r="AY5" s="13">
        <f>AY6+AY7+AY8+AY12+AY21+AY24+AY31+AY33+AY35+AY38+AY39</f>
        <v>41130.00000000001</v>
      </c>
      <c r="AZ5" s="7">
        <f>AY5-AX5</f>
        <v>-1742.9000000000015</v>
      </c>
      <c r="BA5" s="19">
        <f>AY5/AX5%</f>
        <v>95.93472799833927</v>
      </c>
      <c r="BB5" s="6">
        <f>BB6+BB7+BB8+BB12+BB21+BB24+BB31+BB33+BB35+BB38+BB39</f>
        <v>40178.799999999996</v>
      </c>
      <c r="BC5" s="6">
        <f>BC6+BC7+BC8+BC12+BC21+BC24+BC31+BC33+BC35+BC38+BC39</f>
        <v>43342.60000000001</v>
      </c>
      <c r="BD5" s="7">
        <f aca="true" t="shared" si="18" ref="BD5:BD22">BC5-BB5</f>
        <v>3163.8000000000175</v>
      </c>
      <c r="BE5" s="18">
        <f aca="true" t="shared" si="19" ref="BE5:BE11">BC5/BB5%</f>
        <v>107.87430187063829</v>
      </c>
      <c r="BF5" s="13">
        <f>BF6+BF7+BF8+BF12+BF21+BF24+BF31+BF33+BF35+BF38+BF39</f>
        <v>50403</v>
      </c>
      <c r="BG5" s="13">
        <f>BG6+BG7+BG8+BG12+BG21+BG24+BG31+BG33+BG35+BG38+BG39</f>
        <v>56345.99999999999</v>
      </c>
      <c r="BH5" s="7">
        <f aca="true" t="shared" si="20" ref="BH5:BH22">BG5-BF5</f>
        <v>5942.999999999993</v>
      </c>
      <c r="BI5" s="18">
        <f aca="true" t="shared" si="21" ref="BI5:BI11">BG5/BF5%</f>
        <v>111.7909648235224</v>
      </c>
      <c r="BJ5" s="12">
        <f>BJ6+BJ7+BJ8+BJ12+BJ21+BJ24+BJ31+BJ33+BJ35+BJ38+BJ39</f>
        <v>135196.1</v>
      </c>
      <c r="BK5" s="12">
        <f>BK6+BK7+BK8+BK12+BK21+BK24+BK31+BK33+BK35+BK38+BK39</f>
        <v>156348.80000000002</v>
      </c>
      <c r="BL5" s="12">
        <f>SUM(BL8,BL6,BL12,BL24,BL31,BL38,BL35)</f>
        <v>19030.499999999993</v>
      </c>
      <c r="BM5" s="469">
        <f>BK5/BJ5%</f>
        <v>115.64593949085811</v>
      </c>
      <c r="BN5" s="13">
        <f>BN6+BN7+BN8+BN12+BN21+BN24+BN31+BN33+BN35+BN38+BN39</f>
        <v>41596.3</v>
      </c>
      <c r="BO5" s="13">
        <f>BO6+BO7+BO8+BO12+BO21+BO24+BO31+BO33+BO35+BO38+BO39</f>
        <v>48293.99999999999</v>
      </c>
      <c r="BP5" s="7">
        <f aca="true" t="shared" si="22" ref="BP5:BP21">BO5-BN5</f>
        <v>6697.69999999999</v>
      </c>
      <c r="BQ5" s="233">
        <f>BO5/BN5%</f>
        <v>116.10167250452562</v>
      </c>
      <c r="BR5" s="7">
        <f>BR6+BR7+BR8+BR12+BR21+BR24+BR31+BR33+BR35+BR38+BR39</f>
        <v>41914.8</v>
      </c>
      <c r="BS5" s="7">
        <f>BS6+BS7+BS8+BS12+BS21+BS24+BS31+BS33+BS35+BS38+BS39</f>
        <v>42066.1</v>
      </c>
      <c r="BT5" s="7">
        <f aca="true" t="shared" si="23" ref="BT5:BT21">BS5-BR5</f>
        <v>151.29999999999563</v>
      </c>
      <c r="BU5" s="7">
        <f aca="true" t="shared" si="24" ref="BU5:BU12">BS5/BR5%</f>
        <v>100.36097034937539</v>
      </c>
      <c r="BV5" s="13">
        <f>BV6+BV7+BV8+BV12+BV21+BV24+BV31+BV33+BV35+BV38+BV39</f>
        <v>51685</v>
      </c>
      <c r="BW5" s="13">
        <f>BW6+BW7+BW8+BW12+BW21+BW24+BW31+BW33+BW35+BW38+BW39</f>
        <v>65988.70000000001</v>
      </c>
      <c r="BX5" s="7">
        <f aca="true" t="shared" si="25" ref="BX5:BX21">BW5-BV5</f>
        <v>14303.700000000012</v>
      </c>
      <c r="BY5" s="7">
        <f aca="true" t="shared" si="26" ref="BY5:BY20">BW5/BV5%</f>
        <v>127.67476056883044</v>
      </c>
      <c r="BZ5" s="21" t="s">
        <v>106</v>
      </c>
    </row>
    <row r="6" spans="1:77" s="21" customFormat="1" ht="18.75">
      <c r="A6" s="5" t="s">
        <v>21</v>
      </c>
      <c r="B6" s="22">
        <f aca="true" t="shared" si="27" ref="B6:C15">J6+Z6+AT6+BJ6</f>
        <v>351009.4</v>
      </c>
      <c r="C6" s="23">
        <f t="shared" si="27"/>
        <v>384978.9</v>
      </c>
      <c r="D6" s="8">
        <f t="shared" si="0"/>
        <v>33969.5</v>
      </c>
      <c r="E6" s="20">
        <f t="shared" si="1"/>
        <v>109.67766105409143</v>
      </c>
      <c r="F6" s="9">
        <f t="shared" si="2"/>
        <v>158123.3</v>
      </c>
      <c r="G6" s="10">
        <f t="shared" si="2"/>
        <v>165886</v>
      </c>
      <c r="H6" s="10">
        <f t="shared" si="3"/>
        <v>7762.700000000012</v>
      </c>
      <c r="I6" s="11">
        <f t="shared" si="4"/>
        <v>104.90927017080975</v>
      </c>
      <c r="J6" s="24">
        <f>N6+R6+V6</f>
        <v>69281.7</v>
      </c>
      <c r="K6" s="468">
        <f>SUM(O6+S6+W6)</f>
        <v>69515.9</v>
      </c>
      <c r="L6" s="468">
        <f t="shared" si="5"/>
        <v>234.1999999999971</v>
      </c>
      <c r="M6" s="469">
        <f t="shared" si="6"/>
        <v>100.33804020397882</v>
      </c>
      <c r="N6" s="25">
        <v>13148.9</v>
      </c>
      <c r="O6" s="23">
        <v>14882.7</v>
      </c>
      <c r="P6" s="7">
        <f t="shared" si="7"/>
        <v>1733.800000000001</v>
      </c>
      <c r="Q6" s="7">
        <f t="shared" si="8"/>
        <v>113.18589387705435</v>
      </c>
      <c r="R6" s="23">
        <v>29224.5</v>
      </c>
      <c r="S6" s="23">
        <v>28130.3</v>
      </c>
      <c r="T6" s="7">
        <f t="shared" si="9"/>
        <v>-1094.2000000000007</v>
      </c>
      <c r="U6" s="7">
        <f>S6/R6%</f>
        <v>96.2558811955722</v>
      </c>
      <c r="V6" s="223">
        <v>26908.3</v>
      </c>
      <c r="W6" s="23">
        <f>26109.3+393.6</f>
        <v>26502.899999999998</v>
      </c>
      <c r="X6" s="7">
        <f t="shared" si="10"/>
        <v>-405.40000000000146</v>
      </c>
      <c r="Y6" s="7">
        <f t="shared" si="11"/>
        <v>98.49340166417053</v>
      </c>
      <c r="Z6" s="468">
        <f>AD6+AH6+AL6</f>
        <v>88841.6</v>
      </c>
      <c r="AA6" s="468">
        <f aca="true" t="shared" si="28" ref="AA6:AA39">SUM(AE6+AI6+AM6)</f>
        <v>96370.1</v>
      </c>
      <c r="AB6" s="468">
        <f aca="true" t="shared" si="29" ref="AB6:AB39">AA6-Z6</f>
        <v>7528.5</v>
      </c>
      <c r="AC6" s="468">
        <f>AA6/Z6%</f>
        <v>108.47407070561539</v>
      </c>
      <c r="AD6" s="23">
        <v>25086.8</v>
      </c>
      <c r="AE6" s="23">
        <v>30391.4</v>
      </c>
      <c r="AF6" s="7">
        <f aca="true" t="shared" si="30" ref="AF6:AF38">AE6-AD6</f>
        <v>5304.600000000002</v>
      </c>
      <c r="AG6" s="7">
        <f aca="true" t="shared" si="31" ref="AG6:AG12">AE6/AD6%</f>
        <v>121.14498461342221</v>
      </c>
      <c r="AH6" s="23">
        <v>23947.3</v>
      </c>
      <c r="AI6" s="23">
        <v>29911.3</v>
      </c>
      <c r="AJ6" s="7">
        <f t="shared" si="12"/>
        <v>5964</v>
      </c>
      <c r="AK6" s="7">
        <f>AI6/AH6%</f>
        <v>124.90468654086266</v>
      </c>
      <c r="AL6" s="347">
        <f>31307.5+8500</f>
        <v>39807.5</v>
      </c>
      <c r="AM6" s="23">
        <v>36067.4</v>
      </c>
      <c r="AN6" s="7">
        <f t="shared" si="13"/>
        <v>-3740.0999999999985</v>
      </c>
      <c r="AO6" s="7">
        <f t="shared" si="14"/>
        <v>90.60453432142185</v>
      </c>
      <c r="AP6" s="14">
        <f>J6+Z6+AT6</f>
        <v>259572.8</v>
      </c>
      <c r="AQ6" s="15">
        <f aca="true" t="shared" si="32" ref="AQ6:AQ23">K6+AA6+AU6</f>
        <v>264461.2</v>
      </c>
      <c r="AR6" s="15">
        <f t="shared" si="15"/>
        <v>4888.400000000023</v>
      </c>
      <c r="AS6" s="16">
        <f t="shared" si="16"/>
        <v>101.88324816775872</v>
      </c>
      <c r="AT6" s="24">
        <f aca="true" t="shared" si="33" ref="AT6:AT17">AX6+BB6+BF6</f>
        <v>101449.5</v>
      </c>
      <c r="AU6" s="468">
        <f>SUM(AY6+BC6+BG6)</f>
        <v>98575.2</v>
      </c>
      <c r="AV6" s="468">
        <f>AU6-AT6</f>
        <v>-2874.300000000003</v>
      </c>
      <c r="AW6" s="17">
        <f t="shared" si="17"/>
        <v>97.16676770215723</v>
      </c>
      <c r="AX6" s="22">
        <v>29720.8</v>
      </c>
      <c r="AY6" s="23">
        <v>30506.9</v>
      </c>
      <c r="AZ6" s="7">
        <f>AY6-AX6</f>
        <v>786.1000000000022</v>
      </c>
      <c r="BA6" s="19">
        <f>AY6/AX6%</f>
        <v>102.64494899195178</v>
      </c>
      <c r="BB6" s="349">
        <f>26593.9+5835.7</f>
        <v>32429.600000000002</v>
      </c>
      <c r="BC6" s="23">
        <v>32499.1</v>
      </c>
      <c r="BD6" s="7">
        <f t="shared" si="18"/>
        <v>69.49999999999636</v>
      </c>
      <c r="BE6" s="18">
        <f t="shared" si="19"/>
        <v>100.21431038310678</v>
      </c>
      <c r="BF6" s="25">
        <f>27299.1+12000</f>
        <v>39299.1</v>
      </c>
      <c r="BG6" s="23">
        <v>35569.2</v>
      </c>
      <c r="BH6" s="7">
        <f t="shared" si="20"/>
        <v>-3729.9000000000015</v>
      </c>
      <c r="BI6" s="18">
        <f t="shared" si="21"/>
        <v>90.50894295289204</v>
      </c>
      <c r="BJ6" s="12">
        <f aca="true" t="shared" si="34" ref="BJ6:BJ39">BN6+BR6+BV6</f>
        <v>91436.6</v>
      </c>
      <c r="BK6" s="12">
        <f aca="true" t="shared" si="35" ref="BK6:BK39">SUM(BO6+BS6+BW6)</f>
        <v>120517.7</v>
      </c>
      <c r="BL6" s="468">
        <f aca="true" t="shared" si="36" ref="BL6:BL35">BK6-BJ6</f>
        <v>29081.09999999999</v>
      </c>
      <c r="BM6" s="469">
        <f aca="true" t="shared" si="37" ref="BM6:BM11">BK6/BJ6%</f>
        <v>131.8046602782693</v>
      </c>
      <c r="BN6" s="22">
        <f>30490-4000</f>
        <v>26490</v>
      </c>
      <c r="BO6" s="23">
        <v>34850</v>
      </c>
      <c r="BP6" s="7">
        <f t="shared" si="22"/>
        <v>8360</v>
      </c>
      <c r="BQ6" s="19">
        <f aca="true" t="shared" si="38" ref="BQ6:BQ12">BO6/BN6%</f>
        <v>131.55907889769725</v>
      </c>
      <c r="BR6" s="23">
        <f>29110.2-4000+2607</f>
        <v>27717.2</v>
      </c>
      <c r="BS6" s="23">
        <v>33082.2</v>
      </c>
      <c r="BT6" s="7">
        <f t="shared" si="23"/>
        <v>5364.999999999996</v>
      </c>
      <c r="BU6" s="7">
        <f t="shared" si="24"/>
        <v>119.35621202718887</v>
      </c>
      <c r="BV6" s="340">
        <f>49729.4-8500-4000</f>
        <v>37229.4</v>
      </c>
      <c r="BW6" s="23">
        <v>52585.5</v>
      </c>
      <c r="BX6" s="7">
        <f t="shared" si="25"/>
        <v>15356.099999999999</v>
      </c>
      <c r="BY6" s="7">
        <f t="shared" si="26"/>
        <v>141.24724008444937</v>
      </c>
    </row>
    <row r="7" spans="1:77" s="21" customFormat="1" ht="18.75">
      <c r="A7" s="5" t="s">
        <v>22</v>
      </c>
      <c r="B7" s="22">
        <f t="shared" si="27"/>
        <v>31819.2</v>
      </c>
      <c r="C7" s="23">
        <f t="shared" si="27"/>
        <v>34179.5</v>
      </c>
      <c r="D7" s="8">
        <f>C7-B7</f>
        <v>2360.2999999999993</v>
      </c>
      <c r="E7" s="20">
        <f>C7/B7%</f>
        <v>107.41784834313873</v>
      </c>
      <c r="F7" s="9">
        <f>J7+Z7</f>
        <v>14867.6</v>
      </c>
      <c r="G7" s="10">
        <f>K7+AA7</f>
        <v>15523.6</v>
      </c>
      <c r="H7" s="10">
        <f>G7-F7</f>
        <v>656</v>
      </c>
      <c r="I7" s="11">
        <f>G7/F7%</f>
        <v>104.41227904974575</v>
      </c>
      <c r="J7" s="24">
        <f>N7+R7+V7</f>
        <v>7406</v>
      </c>
      <c r="K7" s="468">
        <f>O7+S7+W7</f>
        <v>7497.200000000001</v>
      </c>
      <c r="L7" s="468">
        <f>K7-J7</f>
        <v>91.20000000000073</v>
      </c>
      <c r="M7" s="469">
        <f>K7/J7%</f>
        <v>101.23143397245477</v>
      </c>
      <c r="N7" s="25">
        <v>2691.9</v>
      </c>
      <c r="O7" s="23">
        <v>2549.8</v>
      </c>
      <c r="P7" s="7">
        <f>O7-N7</f>
        <v>-142.0999999999999</v>
      </c>
      <c r="Q7" s="7">
        <f t="shared" si="8"/>
        <v>94.7212006389539</v>
      </c>
      <c r="R7" s="23">
        <v>28.1</v>
      </c>
      <c r="S7" s="23">
        <v>952.3</v>
      </c>
      <c r="T7" s="7">
        <f>S7-R7</f>
        <v>924.1999999999999</v>
      </c>
      <c r="U7" s="7"/>
      <c r="V7" s="23">
        <v>4686</v>
      </c>
      <c r="W7" s="23">
        <v>3995.1</v>
      </c>
      <c r="X7" s="7">
        <f>W7-V7</f>
        <v>-690.9000000000001</v>
      </c>
      <c r="Y7" s="7">
        <f>W7/V7%</f>
        <v>85.25608194622279</v>
      </c>
      <c r="Z7" s="468">
        <f>AD7+AH7+AL7</f>
        <v>7461.6</v>
      </c>
      <c r="AA7" s="468">
        <f>SUM(AE7+AI7+AM7)</f>
        <v>8026.4</v>
      </c>
      <c r="AB7" s="468">
        <f>AA7-Z7</f>
        <v>564.7999999999993</v>
      </c>
      <c r="AC7" s="468">
        <f>AA7/Z7%</f>
        <v>107.5694221078589</v>
      </c>
      <c r="AD7" s="23">
        <v>2505.3</v>
      </c>
      <c r="AE7" s="23">
        <v>2640.8</v>
      </c>
      <c r="AF7" s="7">
        <f>AE7-AD7</f>
        <v>135.5</v>
      </c>
      <c r="AG7" s="7">
        <f t="shared" si="31"/>
        <v>105.4085339081148</v>
      </c>
      <c r="AH7" s="23">
        <v>2466.2</v>
      </c>
      <c r="AI7" s="23">
        <v>2737.5</v>
      </c>
      <c r="AJ7" s="7">
        <f>AI7-AH7</f>
        <v>271.3000000000002</v>
      </c>
      <c r="AK7" s="7">
        <f>AI7/AH7%</f>
        <v>111.00072986781284</v>
      </c>
      <c r="AL7" s="23">
        <v>2490.1</v>
      </c>
      <c r="AM7" s="23">
        <v>2648.1</v>
      </c>
      <c r="AN7" s="7">
        <f>AM7-AL7</f>
        <v>158</v>
      </c>
      <c r="AO7" s="7">
        <f>AM7/AL7%</f>
        <v>106.34512670173888</v>
      </c>
      <c r="AP7" s="14">
        <f>J7+Z7+AT7</f>
        <v>24714.5</v>
      </c>
      <c r="AQ7" s="15">
        <f>K7+AA7+AU7</f>
        <v>25015.4</v>
      </c>
      <c r="AR7" s="15">
        <f>AQ7-AP7</f>
        <v>300.90000000000146</v>
      </c>
      <c r="AS7" s="16">
        <f>AQ7/AP7%</f>
        <v>101.2175038944749</v>
      </c>
      <c r="AT7" s="24">
        <f t="shared" si="33"/>
        <v>9846.9</v>
      </c>
      <c r="AU7" s="468">
        <f>SUM(AY7+BC7+BG7)</f>
        <v>9491.8</v>
      </c>
      <c r="AV7" s="468">
        <f>AU7-AT7</f>
        <v>-355.10000000000036</v>
      </c>
      <c r="AW7" s="469">
        <f>AU7/AT7%</f>
        <v>96.3937889081843</v>
      </c>
      <c r="AX7" s="22">
        <v>2749.4</v>
      </c>
      <c r="AY7" s="25">
        <v>3199</v>
      </c>
      <c r="AZ7" s="7">
        <f>AY7-AX7</f>
        <v>449.5999999999999</v>
      </c>
      <c r="BA7" s="19">
        <f>AY7/AX7%</f>
        <v>116.35265876191168</v>
      </c>
      <c r="BB7" s="349">
        <f>2974.1+185.2</f>
        <v>3159.2999999999997</v>
      </c>
      <c r="BC7" s="25">
        <v>2991.5</v>
      </c>
      <c r="BD7" s="7">
        <f>BC7-BB7</f>
        <v>-167.79999999999973</v>
      </c>
      <c r="BE7" s="18">
        <f>BC7/BB7%</f>
        <v>94.68869686322921</v>
      </c>
      <c r="BF7" s="25">
        <f>2938.2+1000</f>
        <v>3938.2</v>
      </c>
      <c r="BG7" s="23">
        <v>3301.3</v>
      </c>
      <c r="BH7" s="7">
        <f>BG7-BF7</f>
        <v>-636.8999999999996</v>
      </c>
      <c r="BI7" s="18">
        <f>BG7/BF7%</f>
        <v>83.82763699151897</v>
      </c>
      <c r="BJ7" s="26">
        <f>BN7+BR7+BV7</f>
        <v>7104.7</v>
      </c>
      <c r="BK7" s="468">
        <f>SUM(BO7+BS7+BW7)</f>
        <v>9164.099999999999</v>
      </c>
      <c r="BL7" s="468">
        <f>BK7-BJ7</f>
        <v>2059.3999999999987</v>
      </c>
      <c r="BM7" s="469">
        <f>BK7/BJ7%</f>
        <v>128.98644559235433</v>
      </c>
      <c r="BN7" s="25">
        <f>2809.5-400</f>
        <v>2409.5</v>
      </c>
      <c r="BO7" s="23">
        <v>3054</v>
      </c>
      <c r="BP7" s="7">
        <f>BO7-BN7</f>
        <v>644.5</v>
      </c>
      <c r="BQ7" s="19">
        <f>BO7/BN7%</f>
        <v>126.74828802656154</v>
      </c>
      <c r="BR7" s="23">
        <f>2752.5-300</f>
        <v>2452.5</v>
      </c>
      <c r="BS7" s="23">
        <v>3027.4</v>
      </c>
      <c r="BT7" s="7">
        <f>BS7-BR7</f>
        <v>574.9000000000001</v>
      </c>
      <c r="BU7" s="7">
        <f t="shared" si="24"/>
        <v>123.44138634046892</v>
      </c>
      <c r="BV7" s="25">
        <f>2542.7-300</f>
        <v>2242.7</v>
      </c>
      <c r="BW7" s="23">
        <v>3082.7</v>
      </c>
      <c r="BX7" s="7">
        <f>BW7-BV7</f>
        <v>840</v>
      </c>
      <c r="BY7" s="7">
        <f>BW7/BV7%</f>
        <v>137.45485352476925</v>
      </c>
    </row>
    <row r="8" spans="1:77" s="21" customFormat="1" ht="18.75">
      <c r="A8" s="5" t="s">
        <v>23</v>
      </c>
      <c r="B8" s="22">
        <f t="shared" si="27"/>
        <v>30684</v>
      </c>
      <c r="C8" s="23">
        <f t="shared" si="27"/>
        <v>24866.299999999996</v>
      </c>
      <c r="D8" s="8">
        <f t="shared" si="0"/>
        <v>-5817.700000000004</v>
      </c>
      <c r="E8" s="20">
        <f t="shared" si="1"/>
        <v>81.0399556772259</v>
      </c>
      <c r="F8" s="9">
        <f t="shared" si="2"/>
        <v>16411.800000000003</v>
      </c>
      <c r="G8" s="10">
        <f t="shared" si="2"/>
        <v>15491.099999999999</v>
      </c>
      <c r="H8" s="10">
        <f t="shared" si="3"/>
        <v>-920.7000000000044</v>
      </c>
      <c r="I8" s="11">
        <f t="shared" si="4"/>
        <v>94.39001206449016</v>
      </c>
      <c r="J8" s="27">
        <f>SUM(J9:J11)</f>
        <v>9456.1</v>
      </c>
      <c r="K8" s="468">
        <f>SUM(K9:K11)</f>
        <v>6367.799999999999</v>
      </c>
      <c r="L8" s="468">
        <f t="shared" si="5"/>
        <v>-3088.300000000001</v>
      </c>
      <c r="M8" s="469">
        <f t="shared" si="6"/>
        <v>67.3406584109728</v>
      </c>
      <c r="N8" s="23">
        <f>N9+N10+N11</f>
        <v>5299.7</v>
      </c>
      <c r="O8" s="23">
        <f>O9+O10+O11</f>
        <v>4600.5</v>
      </c>
      <c r="P8" s="7">
        <f t="shared" si="7"/>
        <v>-699.1999999999998</v>
      </c>
      <c r="Q8" s="7">
        <f t="shared" si="8"/>
        <v>86.80680038492744</v>
      </c>
      <c r="R8" s="23">
        <f>SUM(R9:R11)</f>
        <v>665.2</v>
      </c>
      <c r="S8" s="23">
        <f>SUM(S9:S11)</f>
        <v>455.29999999999995</v>
      </c>
      <c r="T8" s="7">
        <f t="shared" si="9"/>
        <v>-209.9000000000001</v>
      </c>
      <c r="U8" s="7">
        <f aca="true" t="shared" si="39" ref="U8:U38">S8/R8%</f>
        <v>68.44558027660852</v>
      </c>
      <c r="V8" s="23">
        <f>SUM(V9:V11)</f>
        <v>3491.2000000000003</v>
      </c>
      <c r="W8" s="23">
        <f>SUM(W9:W11)</f>
        <v>1312</v>
      </c>
      <c r="X8" s="7">
        <f t="shared" si="10"/>
        <v>-2179.2000000000003</v>
      </c>
      <c r="Y8" s="7">
        <f t="shared" si="11"/>
        <v>37.5802016498625</v>
      </c>
      <c r="Z8" s="468">
        <f aca="true" t="shared" si="40" ref="Z8:Z39">AD8+AH8+AL8</f>
        <v>6955.700000000001</v>
      </c>
      <c r="AA8" s="468">
        <f t="shared" si="28"/>
        <v>9123.3</v>
      </c>
      <c r="AB8" s="468">
        <f t="shared" si="29"/>
        <v>2167.5999999999985</v>
      </c>
      <c r="AC8" s="468">
        <f>AA8/Z8%</f>
        <v>131.16293112123867</v>
      </c>
      <c r="AD8" s="23">
        <f aca="true" t="shared" si="41" ref="AD8:AM8">SUM(AD9:AD11)</f>
        <v>5179.3</v>
      </c>
      <c r="AE8" s="23">
        <f t="shared" si="41"/>
        <v>6860.5</v>
      </c>
      <c r="AF8" s="23">
        <f t="shared" si="41"/>
        <v>1681.1999999999994</v>
      </c>
      <c r="AG8" s="7">
        <f t="shared" si="31"/>
        <v>132.45998494004982</v>
      </c>
      <c r="AH8" s="23">
        <f t="shared" si="41"/>
        <v>690</v>
      </c>
      <c r="AI8" s="23">
        <f t="shared" si="41"/>
        <v>893.4</v>
      </c>
      <c r="AJ8" s="23">
        <f t="shared" si="41"/>
        <v>203.4</v>
      </c>
      <c r="AK8" s="7">
        <f aca="true" t="shared" si="42" ref="AK8:AK38">AI8/AH8%</f>
        <v>129.47826086956522</v>
      </c>
      <c r="AL8" s="23">
        <f t="shared" si="41"/>
        <v>1086.4</v>
      </c>
      <c r="AM8" s="23">
        <f t="shared" si="41"/>
        <v>1369.4</v>
      </c>
      <c r="AN8" s="7">
        <f t="shared" si="13"/>
        <v>283</v>
      </c>
      <c r="AO8" s="7">
        <f t="shared" si="14"/>
        <v>126.04933726067746</v>
      </c>
      <c r="AP8" s="14">
        <f>J8+Z8+AT8</f>
        <v>23148.800000000003</v>
      </c>
      <c r="AQ8" s="15">
        <f t="shared" si="32"/>
        <v>19388.199999999997</v>
      </c>
      <c r="AR8" s="15">
        <f t="shared" si="15"/>
        <v>-3760.600000000006</v>
      </c>
      <c r="AS8" s="16">
        <f t="shared" si="16"/>
        <v>83.75466546862039</v>
      </c>
      <c r="AT8" s="24">
        <f t="shared" si="33"/>
        <v>6737.000000000001</v>
      </c>
      <c r="AU8" s="24">
        <f>AY8+BC8+BG8</f>
        <v>3897.1000000000004</v>
      </c>
      <c r="AV8" s="468">
        <f aca="true" t="shared" si="43" ref="AV8:AV39">AU8-AT8</f>
        <v>-2839.9000000000005</v>
      </c>
      <c r="AW8" s="17">
        <f t="shared" si="17"/>
        <v>57.84622235416357</v>
      </c>
      <c r="AX8" s="22">
        <f>AX9+AX10+AX11</f>
        <v>5542.000000000001</v>
      </c>
      <c r="AY8" s="25">
        <f>SUM(AY9:AY11)</f>
        <v>3028.9</v>
      </c>
      <c r="AZ8" s="25">
        <f>SUM(AZ9:AZ11)</f>
        <v>-2513.1000000000004</v>
      </c>
      <c r="BA8" s="19">
        <f aca="true" t="shared" si="44" ref="BA8:BA28">AY8/AX8%</f>
        <v>54.65355467340309</v>
      </c>
      <c r="BB8" s="22">
        <f>SUM(BB9:BB11)</f>
        <v>870.2</v>
      </c>
      <c r="BC8" s="25">
        <f>SUM(BC9:BC11)</f>
        <v>414.4</v>
      </c>
      <c r="BD8" s="25">
        <f>SUM(BD9:BD11)</f>
        <v>-455.79999999999995</v>
      </c>
      <c r="BE8" s="18">
        <f t="shared" si="19"/>
        <v>47.621236497356925</v>
      </c>
      <c r="BF8" s="25">
        <f>SUM(BF9:BF11)</f>
        <v>324.8</v>
      </c>
      <c r="BG8" s="25">
        <f>SUM(BG9:BG11)</f>
        <v>453.8</v>
      </c>
      <c r="BH8" s="7">
        <f t="shared" si="20"/>
        <v>129</v>
      </c>
      <c r="BI8" s="18">
        <f t="shared" si="21"/>
        <v>139.7167487684729</v>
      </c>
      <c r="BJ8" s="26">
        <f t="shared" si="34"/>
        <v>7535.199999999999</v>
      </c>
      <c r="BK8" s="468">
        <f t="shared" si="35"/>
        <v>5478.1</v>
      </c>
      <c r="BL8" s="468">
        <f t="shared" si="36"/>
        <v>-2057.0999999999985</v>
      </c>
      <c r="BM8" s="469">
        <f t="shared" si="37"/>
        <v>72.70012740205968</v>
      </c>
      <c r="BN8" s="25">
        <f>SUM(BN9:BN11)</f>
        <v>5093.099999999999</v>
      </c>
      <c r="BO8" s="25">
        <f>SUM(BO9:BO11)</f>
        <v>3526.2000000000003</v>
      </c>
      <c r="BP8" s="7">
        <f t="shared" si="22"/>
        <v>-1566.8999999999992</v>
      </c>
      <c r="BQ8" s="44">
        <f t="shared" si="38"/>
        <v>69.2348471461389</v>
      </c>
      <c r="BR8" s="23">
        <f>SUM(BR9:BR11)</f>
        <v>1275.6999999999998</v>
      </c>
      <c r="BS8" s="23">
        <f>SUM(BS9:BS11)</f>
        <v>724</v>
      </c>
      <c r="BT8" s="7">
        <f t="shared" si="23"/>
        <v>-551.6999999999998</v>
      </c>
      <c r="BU8" s="7">
        <f t="shared" si="24"/>
        <v>56.75315513051659</v>
      </c>
      <c r="BV8" s="25">
        <f>SUM(BV9:BV11)</f>
        <v>1166.4</v>
      </c>
      <c r="BW8" s="23">
        <f>SUM(BW9:BW11)</f>
        <v>1227.9</v>
      </c>
      <c r="BX8" s="7">
        <f t="shared" si="25"/>
        <v>61.5</v>
      </c>
      <c r="BY8" s="7">
        <f t="shared" si="26"/>
        <v>105.27263374485597</v>
      </c>
    </row>
    <row r="9" spans="1:77" ht="40.5" customHeight="1">
      <c r="A9" s="46" t="s">
        <v>25</v>
      </c>
      <c r="B9" s="30">
        <f t="shared" si="27"/>
        <v>24501.5</v>
      </c>
      <c r="C9" s="31">
        <f t="shared" si="27"/>
        <v>18415.5</v>
      </c>
      <c r="D9" s="33">
        <f t="shared" si="0"/>
        <v>-6086</v>
      </c>
      <c r="E9" s="220">
        <f t="shared" si="1"/>
        <v>75.16070444666653</v>
      </c>
      <c r="F9" s="34">
        <f t="shared" si="2"/>
        <v>12105.1</v>
      </c>
      <c r="G9" s="35">
        <f t="shared" si="2"/>
        <v>10962.099999999999</v>
      </c>
      <c r="H9" s="35">
        <f t="shared" si="3"/>
        <v>-1143.0000000000018</v>
      </c>
      <c r="I9" s="36">
        <f t="shared" si="4"/>
        <v>90.55769882115801</v>
      </c>
      <c r="J9" s="37">
        <f aca="true" t="shared" si="45" ref="J9:J39">N9+R9+V9</f>
        <v>6051</v>
      </c>
      <c r="K9" s="38">
        <f aca="true" t="shared" si="46" ref="K9:K39">SUM(O9+S9+W9)</f>
        <v>5176.099999999999</v>
      </c>
      <c r="L9" s="38">
        <f t="shared" si="5"/>
        <v>-874.9000000000005</v>
      </c>
      <c r="M9" s="43">
        <f t="shared" si="6"/>
        <v>85.5412328540737</v>
      </c>
      <c r="N9" s="39">
        <v>4948</v>
      </c>
      <c r="O9" s="31">
        <v>4556.3</v>
      </c>
      <c r="P9" s="32">
        <f t="shared" si="7"/>
        <v>-391.6999999999998</v>
      </c>
      <c r="Q9" s="32">
        <f t="shared" si="8"/>
        <v>92.08367016976557</v>
      </c>
      <c r="R9" s="31">
        <v>634.7</v>
      </c>
      <c r="S9" s="31">
        <v>386.9</v>
      </c>
      <c r="T9" s="32">
        <f t="shared" si="9"/>
        <v>-247.80000000000007</v>
      </c>
      <c r="U9" s="7">
        <f t="shared" si="39"/>
        <v>60.95793288167638</v>
      </c>
      <c r="V9" s="31">
        <v>468.3</v>
      </c>
      <c r="W9" s="31">
        <f>210.9+22</f>
        <v>232.9</v>
      </c>
      <c r="X9" s="32">
        <f t="shared" si="10"/>
        <v>-235.4</v>
      </c>
      <c r="Y9" s="32">
        <f t="shared" si="11"/>
        <v>49.73307708733718</v>
      </c>
      <c r="Z9" s="38">
        <f t="shared" si="40"/>
        <v>6054.1</v>
      </c>
      <c r="AA9" s="38">
        <f t="shared" si="28"/>
        <v>5786</v>
      </c>
      <c r="AB9" s="38">
        <f t="shared" si="29"/>
        <v>-268.10000000000036</v>
      </c>
      <c r="AC9" s="38">
        <f>AA9/Z9%</f>
        <v>95.57159610842238</v>
      </c>
      <c r="AD9" s="31">
        <v>4695</v>
      </c>
      <c r="AE9" s="31">
        <v>4744.9</v>
      </c>
      <c r="AF9" s="32">
        <f t="shared" si="30"/>
        <v>49.899999999999636</v>
      </c>
      <c r="AG9" s="32">
        <f t="shared" si="31"/>
        <v>101.06283280085195</v>
      </c>
      <c r="AH9" s="31">
        <v>505.8</v>
      </c>
      <c r="AI9" s="31">
        <v>561</v>
      </c>
      <c r="AJ9" s="32">
        <f t="shared" si="12"/>
        <v>55.19999999999999</v>
      </c>
      <c r="AK9" s="32">
        <f t="shared" si="42"/>
        <v>110.91340450771057</v>
      </c>
      <c r="AL9" s="31">
        <v>853.3</v>
      </c>
      <c r="AM9" s="31">
        <v>480.1</v>
      </c>
      <c r="AN9" s="32">
        <f t="shared" si="13"/>
        <v>-373.19999999999993</v>
      </c>
      <c r="AO9" s="32">
        <f t="shared" si="14"/>
        <v>56.2639165592406</v>
      </c>
      <c r="AP9" s="40">
        <f aca="true" t="shared" si="47" ref="AP9:AQ32">J9+Z9+AT9</f>
        <v>18138.4</v>
      </c>
      <c r="AQ9" s="41">
        <f t="shared" si="32"/>
        <v>14400.399999999998</v>
      </c>
      <c r="AR9" s="41">
        <f t="shared" si="15"/>
        <v>-3738.0000000000036</v>
      </c>
      <c r="AS9" s="42">
        <f t="shared" si="16"/>
        <v>79.39178758876194</v>
      </c>
      <c r="AT9" s="37">
        <f t="shared" si="33"/>
        <v>6033.3</v>
      </c>
      <c r="AU9" s="38">
        <f aca="true" t="shared" si="48" ref="AU9:AU20">SUM(AY9+BC9+BG9)</f>
        <v>3438.3</v>
      </c>
      <c r="AV9" s="38">
        <f t="shared" si="43"/>
        <v>-2595</v>
      </c>
      <c r="AW9" s="43">
        <f t="shared" si="17"/>
        <v>56.98871264482125</v>
      </c>
      <c r="AX9" s="30">
        <v>5033.6</v>
      </c>
      <c r="AY9" s="31">
        <v>2743.3</v>
      </c>
      <c r="AZ9" s="32">
        <f aca="true" t="shared" si="49" ref="AZ9:AZ38">AY9-AX9</f>
        <v>-2290.3</v>
      </c>
      <c r="BA9" s="44">
        <f t="shared" si="44"/>
        <v>54.499761602034326</v>
      </c>
      <c r="BB9" s="30">
        <v>701.4</v>
      </c>
      <c r="BC9" s="31">
        <v>279.2</v>
      </c>
      <c r="BD9" s="32">
        <f t="shared" si="18"/>
        <v>-422.2</v>
      </c>
      <c r="BE9" s="28">
        <f t="shared" si="19"/>
        <v>39.80610208155119</v>
      </c>
      <c r="BF9" s="39">
        <v>298.3</v>
      </c>
      <c r="BG9" s="31">
        <v>415.8</v>
      </c>
      <c r="BH9" s="32">
        <f t="shared" si="20"/>
        <v>117.5</v>
      </c>
      <c r="BI9" s="28">
        <f t="shared" si="21"/>
        <v>139.38987596379485</v>
      </c>
      <c r="BJ9" s="45">
        <f t="shared" si="34"/>
        <v>6363.099999999999</v>
      </c>
      <c r="BK9" s="38">
        <f t="shared" si="35"/>
        <v>4015.1000000000004</v>
      </c>
      <c r="BL9" s="38">
        <f t="shared" si="36"/>
        <v>-2347.999999999999</v>
      </c>
      <c r="BM9" s="43">
        <f t="shared" si="37"/>
        <v>63.09974697867393</v>
      </c>
      <c r="BN9" s="30">
        <v>5058</v>
      </c>
      <c r="BO9" s="31">
        <v>3341.3</v>
      </c>
      <c r="BP9" s="7">
        <f t="shared" si="22"/>
        <v>-1716.6999999999998</v>
      </c>
      <c r="BQ9" s="44">
        <f t="shared" si="38"/>
        <v>66.05970739422698</v>
      </c>
      <c r="BR9" s="31">
        <v>720.4</v>
      </c>
      <c r="BS9" s="31">
        <v>268.5</v>
      </c>
      <c r="BT9" s="32">
        <f t="shared" si="23"/>
        <v>-451.9</v>
      </c>
      <c r="BU9" s="32">
        <f t="shared" si="24"/>
        <v>37.27096057745697</v>
      </c>
      <c r="BV9" s="39">
        <v>584.7</v>
      </c>
      <c r="BW9" s="31">
        <v>405.3</v>
      </c>
      <c r="BX9" s="32">
        <f t="shared" si="25"/>
        <v>-179.40000000000003</v>
      </c>
      <c r="BY9" s="32">
        <f t="shared" si="26"/>
        <v>69.31759876859928</v>
      </c>
    </row>
    <row r="10" spans="1:77" ht="24.75" customHeight="1">
      <c r="A10" s="48" t="s">
        <v>26</v>
      </c>
      <c r="B10" s="30">
        <f t="shared" si="27"/>
        <v>4182.5</v>
      </c>
      <c r="C10" s="31">
        <f t="shared" si="27"/>
        <v>4430.099999999999</v>
      </c>
      <c r="D10" s="33">
        <f t="shared" si="0"/>
        <v>247.59999999999945</v>
      </c>
      <c r="E10" s="220">
        <f t="shared" si="1"/>
        <v>105.919904363419</v>
      </c>
      <c r="F10" s="34">
        <f t="shared" si="2"/>
        <v>3482.8</v>
      </c>
      <c r="G10" s="35">
        <f t="shared" si="2"/>
        <v>3894.7</v>
      </c>
      <c r="H10" s="35">
        <f t="shared" si="3"/>
        <v>411.89999999999964</v>
      </c>
      <c r="I10" s="36">
        <f t="shared" si="4"/>
        <v>111.82669116802572</v>
      </c>
      <c r="J10" s="37">
        <f t="shared" si="45"/>
        <v>2728</v>
      </c>
      <c r="K10" s="38">
        <f t="shared" si="46"/>
        <v>867.3</v>
      </c>
      <c r="L10" s="38">
        <f t="shared" si="5"/>
        <v>-1860.7</v>
      </c>
      <c r="M10" s="43">
        <f t="shared" si="6"/>
        <v>31.792521994134894</v>
      </c>
      <c r="N10" s="39">
        <v>108.2</v>
      </c>
      <c r="O10" s="31">
        <v>-5.2</v>
      </c>
      <c r="P10" s="32">
        <f t="shared" si="7"/>
        <v>-113.4</v>
      </c>
      <c r="Q10" s="32">
        <f t="shared" si="8"/>
        <v>-4.805914972273567</v>
      </c>
      <c r="R10" s="31">
        <v>8.2</v>
      </c>
      <c r="S10" s="31">
        <v>37.5</v>
      </c>
      <c r="T10" s="32">
        <f t="shared" si="9"/>
        <v>29.3</v>
      </c>
      <c r="U10" s="7">
        <f t="shared" si="39"/>
        <v>457.31707317073176</v>
      </c>
      <c r="V10" s="31">
        <v>2611.6</v>
      </c>
      <c r="W10" s="31">
        <f>717.4+117.6</f>
        <v>835</v>
      </c>
      <c r="X10" s="32">
        <f t="shared" si="10"/>
        <v>-1776.6</v>
      </c>
      <c r="Y10" s="32">
        <f t="shared" si="11"/>
        <v>31.972737019451678</v>
      </c>
      <c r="Z10" s="38">
        <f t="shared" si="40"/>
        <v>754.8</v>
      </c>
      <c r="AA10" s="38">
        <f t="shared" si="28"/>
        <v>3027.3999999999996</v>
      </c>
      <c r="AB10" s="38">
        <f t="shared" si="29"/>
        <v>2272.5999999999995</v>
      </c>
      <c r="AC10" s="38" t="s">
        <v>107</v>
      </c>
      <c r="AD10" s="31">
        <v>450.1</v>
      </c>
      <c r="AE10" s="31">
        <v>1903.8</v>
      </c>
      <c r="AF10" s="32">
        <f t="shared" si="30"/>
        <v>1453.6999999999998</v>
      </c>
      <c r="AG10" s="32" t="s">
        <v>27</v>
      </c>
      <c r="AH10" s="31">
        <v>116.5</v>
      </c>
      <c r="AI10" s="31">
        <v>296.3</v>
      </c>
      <c r="AJ10" s="32">
        <f t="shared" si="12"/>
        <v>179.8</v>
      </c>
      <c r="AK10" s="32" t="s">
        <v>27</v>
      </c>
      <c r="AL10" s="31">
        <v>188.2</v>
      </c>
      <c r="AM10" s="31">
        <v>827.3</v>
      </c>
      <c r="AN10" s="32">
        <f t="shared" si="13"/>
        <v>639.0999999999999</v>
      </c>
      <c r="AO10" s="32">
        <f t="shared" si="14"/>
        <v>439.5855472901169</v>
      </c>
      <c r="AP10" s="40">
        <f t="shared" si="47"/>
        <v>4123</v>
      </c>
      <c r="AQ10" s="41">
        <f t="shared" si="32"/>
        <v>4255.9</v>
      </c>
      <c r="AR10" s="41">
        <f t="shared" si="15"/>
        <v>132.89999999999964</v>
      </c>
      <c r="AS10" s="42">
        <f t="shared" si="16"/>
        <v>103.22338103322824</v>
      </c>
      <c r="AT10" s="37">
        <f t="shared" si="33"/>
        <v>640.2</v>
      </c>
      <c r="AU10" s="38">
        <f t="shared" si="48"/>
        <v>361.20000000000005</v>
      </c>
      <c r="AV10" s="38">
        <f t="shared" si="43"/>
        <v>-279</v>
      </c>
      <c r="AW10" s="43">
        <f t="shared" si="17"/>
        <v>56.41986879100282</v>
      </c>
      <c r="AX10" s="30">
        <v>476.6</v>
      </c>
      <c r="AY10" s="31">
        <v>260.6</v>
      </c>
      <c r="AZ10" s="32">
        <f t="shared" si="49"/>
        <v>-216</v>
      </c>
      <c r="BA10" s="44">
        <f t="shared" si="44"/>
        <v>54.67897608057071</v>
      </c>
      <c r="BB10" s="30">
        <v>163.6</v>
      </c>
      <c r="BC10" s="31">
        <v>108</v>
      </c>
      <c r="BD10" s="32">
        <f t="shared" si="18"/>
        <v>-55.599999999999994</v>
      </c>
      <c r="BE10" s="28">
        <f t="shared" si="19"/>
        <v>66.01466992665037</v>
      </c>
      <c r="BF10" s="39">
        <v>0</v>
      </c>
      <c r="BG10" s="31">
        <v>-7.4</v>
      </c>
      <c r="BH10" s="32">
        <f t="shared" si="20"/>
        <v>-7.4</v>
      </c>
      <c r="BI10" s="28"/>
      <c r="BJ10" s="45">
        <f t="shared" si="34"/>
        <v>59.5</v>
      </c>
      <c r="BK10" s="38">
        <f t="shared" si="35"/>
        <v>174.20000000000002</v>
      </c>
      <c r="BL10" s="38">
        <f t="shared" si="36"/>
        <v>114.70000000000002</v>
      </c>
      <c r="BM10" s="43" t="s">
        <v>27</v>
      </c>
      <c r="BN10" s="30">
        <v>0.9</v>
      </c>
      <c r="BO10" s="31">
        <v>146.4</v>
      </c>
      <c r="BP10" s="7">
        <f t="shared" si="22"/>
        <v>145.5</v>
      </c>
      <c r="BQ10" s="44" t="s">
        <v>27</v>
      </c>
      <c r="BR10" s="31">
        <v>0</v>
      </c>
      <c r="BS10" s="31">
        <v>20.3</v>
      </c>
      <c r="BT10" s="7">
        <f t="shared" si="23"/>
        <v>20.3</v>
      </c>
      <c r="BU10" s="32" t="s">
        <v>27</v>
      </c>
      <c r="BV10" s="39">
        <v>58.6</v>
      </c>
      <c r="BW10" s="31">
        <v>7.5</v>
      </c>
      <c r="BX10" s="32">
        <f t="shared" si="25"/>
        <v>-51.1</v>
      </c>
      <c r="BY10" s="32">
        <f t="shared" si="26"/>
        <v>12.79863481228669</v>
      </c>
    </row>
    <row r="11" spans="1:77" ht="39.75" customHeight="1">
      <c r="A11" s="29" t="s">
        <v>28</v>
      </c>
      <c r="B11" s="30">
        <f t="shared" si="27"/>
        <v>2000</v>
      </c>
      <c r="C11" s="31">
        <f t="shared" si="27"/>
        <v>2020.6999999999998</v>
      </c>
      <c r="D11" s="33">
        <f t="shared" si="0"/>
        <v>20.699999999999818</v>
      </c>
      <c r="E11" s="220">
        <f t="shared" si="1"/>
        <v>101.035</v>
      </c>
      <c r="F11" s="34">
        <f t="shared" si="2"/>
        <v>823.9000000000001</v>
      </c>
      <c r="G11" s="35">
        <f t="shared" si="2"/>
        <v>634.3</v>
      </c>
      <c r="H11" s="35">
        <f t="shared" si="3"/>
        <v>-189.60000000000014</v>
      </c>
      <c r="I11" s="36">
        <f t="shared" si="4"/>
        <v>76.98749848282557</v>
      </c>
      <c r="J11" s="37">
        <f t="shared" si="45"/>
        <v>677.1</v>
      </c>
      <c r="K11" s="38">
        <f t="shared" si="46"/>
        <v>324.40000000000003</v>
      </c>
      <c r="L11" s="38">
        <f t="shared" si="5"/>
        <v>-352.7</v>
      </c>
      <c r="M11" s="43">
        <f t="shared" si="6"/>
        <v>47.91020528725447</v>
      </c>
      <c r="N11" s="39">
        <v>243.5</v>
      </c>
      <c r="O11" s="31">
        <v>49.4</v>
      </c>
      <c r="P11" s="32">
        <f t="shared" si="7"/>
        <v>-194.1</v>
      </c>
      <c r="Q11" s="32">
        <f t="shared" si="8"/>
        <v>20.28747433264887</v>
      </c>
      <c r="R11" s="31">
        <v>22.3</v>
      </c>
      <c r="S11" s="31">
        <v>30.9</v>
      </c>
      <c r="T11" s="32">
        <f t="shared" si="9"/>
        <v>8.599999999999998</v>
      </c>
      <c r="U11" s="7">
        <f t="shared" si="39"/>
        <v>138.56502242152465</v>
      </c>
      <c r="V11" s="31">
        <v>411.3</v>
      </c>
      <c r="W11" s="31">
        <f>228.8+15.3</f>
        <v>244.10000000000002</v>
      </c>
      <c r="X11" s="32">
        <f t="shared" si="10"/>
        <v>-167.2</v>
      </c>
      <c r="Y11" s="32">
        <f t="shared" si="11"/>
        <v>59.34840748845125</v>
      </c>
      <c r="Z11" s="38">
        <f t="shared" si="40"/>
        <v>146.8</v>
      </c>
      <c r="AA11" s="38">
        <f t="shared" si="28"/>
        <v>309.9</v>
      </c>
      <c r="AB11" s="38">
        <f t="shared" si="29"/>
        <v>163.09999999999997</v>
      </c>
      <c r="AC11" s="38">
        <f>AA11/Z11%</f>
        <v>211.1035422343324</v>
      </c>
      <c r="AD11" s="31">
        <v>34.2</v>
      </c>
      <c r="AE11" s="31">
        <v>211.8</v>
      </c>
      <c r="AF11" s="32">
        <f t="shared" si="30"/>
        <v>177.60000000000002</v>
      </c>
      <c r="AG11" s="32" t="s">
        <v>27</v>
      </c>
      <c r="AH11" s="31">
        <v>67.7</v>
      </c>
      <c r="AI11" s="31">
        <v>36.1</v>
      </c>
      <c r="AJ11" s="32">
        <f t="shared" si="12"/>
        <v>-31.6</v>
      </c>
      <c r="AK11" s="32">
        <f t="shared" si="42"/>
        <v>53.32348596750369</v>
      </c>
      <c r="AL11" s="31">
        <v>44.9</v>
      </c>
      <c r="AM11" s="31">
        <v>62</v>
      </c>
      <c r="AN11" s="32">
        <f t="shared" si="13"/>
        <v>17.1</v>
      </c>
      <c r="AO11" s="32">
        <f t="shared" si="14"/>
        <v>138.08463251670378</v>
      </c>
      <c r="AP11" s="40">
        <f t="shared" si="47"/>
        <v>887.4000000000001</v>
      </c>
      <c r="AQ11" s="41">
        <f t="shared" si="32"/>
        <v>731.9</v>
      </c>
      <c r="AR11" s="41">
        <f t="shared" si="15"/>
        <v>-155.5000000000001</v>
      </c>
      <c r="AS11" s="42">
        <f t="shared" si="16"/>
        <v>82.4768988054992</v>
      </c>
      <c r="AT11" s="37">
        <f t="shared" si="33"/>
        <v>63.5</v>
      </c>
      <c r="AU11" s="38">
        <f t="shared" si="48"/>
        <v>97.6</v>
      </c>
      <c r="AV11" s="38">
        <f>AU11-AT11</f>
        <v>34.099999999999994</v>
      </c>
      <c r="AW11" s="43">
        <f>AU11/AT11%</f>
        <v>153.7007874015748</v>
      </c>
      <c r="AX11" s="30">
        <v>31.8</v>
      </c>
      <c r="AY11" s="31">
        <v>25</v>
      </c>
      <c r="AZ11" s="32">
        <f t="shared" si="49"/>
        <v>-6.800000000000001</v>
      </c>
      <c r="BA11" s="44">
        <f t="shared" si="44"/>
        <v>78.61635220125785</v>
      </c>
      <c r="BB11" s="30">
        <v>5.2</v>
      </c>
      <c r="BC11" s="31">
        <v>27.2</v>
      </c>
      <c r="BD11" s="32">
        <f t="shared" si="18"/>
        <v>22</v>
      </c>
      <c r="BE11" s="28">
        <f t="shared" si="19"/>
        <v>523.076923076923</v>
      </c>
      <c r="BF11" s="39">
        <v>26.5</v>
      </c>
      <c r="BG11" s="31">
        <v>45.4</v>
      </c>
      <c r="BH11" s="32">
        <f t="shared" si="20"/>
        <v>18.9</v>
      </c>
      <c r="BI11" s="28">
        <f t="shared" si="21"/>
        <v>171.32075471698113</v>
      </c>
      <c r="BJ11" s="45">
        <f t="shared" si="34"/>
        <v>1112.6</v>
      </c>
      <c r="BK11" s="38">
        <f t="shared" si="35"/>
        <v>1288.8</v>
      </c>
      <c r="BL11" s="38">
        <f t="shared" si="36"/>
        <v>176.20000000000005</v>
      </c>
      <c r="BM11" s="43">
        <f t="shared" si="37"/>
        <v>115.83677871651986</v>
      </c>
      <c r="BN11" s="30">
        <v>34.2</v>
      </c>
      <c r="BO11" s="31">
        <v>38.5</v>
      </c>
      <c r="BP11" s="7">
        <f t="shared" si="22"/>
        <v>4.299999999999997</v>
      </c>
      <c r="BQ11" s="44">
        <f t="shared" si="38"/>
        <v>112.57309941520467</v>
      </c>
      <c r="BR11" s="31">
        <v>555.3</v>
      </c>
      <c r="BS11" s="31">
        <v>435.2</v>
      </c>
      <c r="BT11" s="32">
        <f t="shared" si="23"/>
        <v>-120.09999999999997</v>
      </c>
      <c r="BU11" s="32">
        <f t="shared" si="24"/>
        <v>78.37205114352602</v>
      </c>
      <c r="BV11" s="39">
        <v>523.1</v>
      </c>
      <c r="BW11" s="31">
        <v>815.1</v>
      </c>
      <c r="BX11" s="32">
        <f t="shared" si="25"/>
        <v>292</v>
      </c>
      <c r="BY11" s="32">
        <f t="shared" si="26"/>
        <v>155.8210667176448</v>
      </c>
    </row>
    <row r="12" spans="1:77" s="21" customFormat="1" ht="18.75">
      <c r="A12" s="5" t="s">
        <v>29</v>
      </c>
      <c r="B12" s="22">
        <f t="shared" si="27"/>
        <v>14378.999999999998</v>
      </c>
      <c r="C12" s="23">
        <f t="shared" si="27"/>
        <v>16443.300000000003</v>
      </c>
      <c r="D12" s="8">
        <f t="shared" si="0"/>
        <v>2064.3000000000047</v>
      </c>
      <c r="E12" s="20">
        <f t="shared" si="1"/>
        <v>114.3563530148133</v>
      </c>
      <c r="F12" s="9">
        <f t="shared" si="2"/>
        <v>7330.799999999999</v>
      </c>
      <c r="G12" s="10">
        <f t="shared" si="2"/>
        <v>7960.3</v>
      </c>
      <c r="H12" s="10">
        <f t="shared" si="3"/>
        <v>629.5000000000009</v>
      </c>
      <c r="I12" s="11">
        <f>G12/F12%</f>
        <v>108.58705734708356</v>
      </c>
      <c r="J12" s="24">
        <f t="shared" si="45"/>
        <v>2706.1</v>
      </c>
      <c r="K12" s="468">
        <f t="shared" si="46"/>
        <v>3694.7</v>
      </c>
      <c r="L12" s="468">
        <f t="shared" si="5"/>
        <v>988.5999999999999</v>
      </c>
      <c r="M12" s="469">
        <f t="shared" si="6"/>
        <v>136.53227892539078</v>
      </c>
      <c r="N12" s="25">
        <f>N13+N20+N14</f>
        <v>814.8</v>
      </c>
      <c r="O12" s="25">
        <f>O13+O20+O14</f>
        <v>1462.1</v>
      </c>
      <c r="P12" s="7">
        <f t="shared" si="7"/>
        <v>647.3</v>
      </c>
      <c r="Q12" s="7" t="s">
        <v>27</v>
      </c>
      <c r="R12" s="25">
        <f>R13+R20+R14</f>
        <v>868</v>
      </c>
      <c r="S12" s="25">
        <f>S13+S20+S14</f>
        <v>1064.5</v>
      </c>
      <c r="T12" s="7">
        <f t="shared" si="9"/>
        <v>196.5</v>
      </c>
      <c r="U12" s="7">
        <f t="shared" si="39"/>
        <v>122.63824884792628</v>
      </c>
      <c r="V12" s="25">
        <f>V13+V20+V14</f>
        <v>1023.3</v>
      </c>
      <c r="W12" s="25">
        <f>W13+W20+W14</f>
        <v>1168.1</v>
      </c>
      <c r="X12" s="7">
        <f t="shared" si="10"/>
        <v>144.79999999999995</v>
      </c>
      <c r="Y12" s="7">
        <f>W12/V12%</f>
        <v>114.15029805531125</v>
      </c>
      <c r="Z12" s="468">
        <f t="shared" si="40"/>
        <v>4624.7</v>
      </c>
      <c r="AA12" s="468">
        <f t="shared" si="28"/>
        <v>4265.6</v>
      </c>
      <c r="AB12" s="468">
        <f t="shared" si="29"/>
        <v>-359.09999999999945</v>
      </c>
      <c r="AC12" s="468">
        <f>AA12/Z12%</f>
        <v>92.23517201115749</v>
      </c>
      <c r="AD12" s="25">
        <f>AD13+AD20+AD14</f>
        <v>1013.5</v>
      </c>
      <c r="AE12" s="25">
        <f>AE13+AE20+AE14</f>
        <v>1286.2</v>
      </c>
      <c r="AF12" s="7">
        <f t="shared" si="30"/>
        <v>272.70000000000005</v>
      </c>
      <c r="AG12" s="7">
        <f t="shared" si="31"/>
        <v>126.90675875678343</v>
      </c>
      <c r="AH12" s="25">
        <f>AH13+AH20+AH14</f>
        <v>999</v>
      </c>
      <c r="AI12" s="25">
        <f>AI13+AI20+AI14</f>
        <v>1606.7</v>
      </c>
      <c r="AJ12" s="7">
        <f t="shared" si="12"/>
        <v>607.7</v>
      </c>
      <c r="AK12" s="7">
        <f t="shared" si="42"/>
        <v>160.83083083083082</v>
      </c>
      <c r="AL12" s="25">
        <f>AL13+AL20+AL14</f>
        <v>2612.2</v>
      </c>
      <c r="AM12" s="25">
        <f>AM13+AM20+AM14</f>
        <v>1372.7</v>
      </c>
      <c r="AN12" s="7">
        <f t="shared" si="13"/>
        <v>-1239.4999999999998</v>
      </c>
      <c r="AO12" s="7">
        <f t="shared" si="14"/>
        <v>52.54957507082153</v>
      </c>
      <c r="AP12" s="14">
        <f t="shared" si="47"/>
        <v>11734.199999999999</v>
      </c>
      <c r="AQ12" s="15">
        <f t="shared" si="32"/>
        <v>11957.2</v>
      </c>
      <c r="AR12" s="15">
        <f t="shared" si="15"/>
        <v>223.00000000000182</v>
      </c>
      <c r="AS12" s="16">
        <f>AQ12/AP12%</f>
        <v>101.90042780930956</v>
      </c>
      <c r="AT12" s="24">
        <f t="shared" si="33"/>
        <v>4403.4</v>
      </c>
      <c r="AU12" s="468">
        <f t="shared" si="48"/>
        <v>3996.8999999999996</v>
      </c>
      <c r="AV12" s="468">
        <f t="shared" si="43"/>
        <v>-406.5</v>
      </c>
      <c r="AW12" s="17">
        <f>AU12/AT12%</f>
        <v>90.76849707044556</v>
      </c>
      <c r="AX12" s="25">
        <f>AX13+AX20+AX14</f>
        <v>1261.9</v>
      </c>
      <c r="AY12" s="25">
        <f>AY13+AY20+AY14</f>
        <v>1335.4</v>
      </c>
      <c r="AZ12" s="7">
        <f t="shared" si="49"/>
        <v>73.5</v>
      </c>
      <c r="BA12" s="19">
        <f>AY12/AX12%</f>
        <v>105.8245502813218</v>
      </c>
      <c r="BB12" s="22">
        <f>BB13+BB20+BB14</f>
        <v>1222.6</v>
      </c>
      <c r="BC12" s="25">
        <f>BC13+BC20+BC14</f>
        <v>1373.8</v>
      </c>
      <c r="BD12" s="7">
        <f t="shared" si="18"/>
        <v>151.20000000000005</v>
      </c>
      <c r="BE12" s="18">
        <f>BC12/BB12%</f>
        <v>112.3670865368886</v>
      </c>
      <c r="BF12" s="25">
        <f>BF13+BF20+BF14</f>
        <v>1918.9</v>
      </c>
      <c r="BG12" s="25">
        <f>BG13+BG20+BG14</f>
        <v>1287.6999999999998</v>
      </c>
      <c r="BH12" s="7">
        <f t="shared" si="20"/>
        <v>-631.2000000000003</v>
      </c>
      <c r="BI12" s="7">
        <f>BG12/BF12%</f>
        <v>67.10615456772108</v>
      </c>
      <c r="BJ12" s="26">
        <f t="shared" si="34"/>
        <v>2644.7999999999997</v>
      </c>
      <c r="BK12" s="468">
        <f t="shared" si="35"/>
        <v>4486.1</v>
      </c>
      <c r="BL12" s="468">
        <f t="shared" si="36"/>
        <v>1841.3000000000006</v>
      </c>
      <c r="BM12" s="469">
        <f>BK12/BJ12%</f>
        <v>169.61963097398672</v>
      </c>
      <c r="BN12" s="25">
        <f>BN13+BN20+BN14</f>
        <v>1306.3</v>
      </c>
      <c r="BO12" s="25">
        <f>BO13+BO20+BO14</f>
        <v>1485.3</v>
      </c>
      <c r="BP12" s="7">
        <f t="shared" si="22"/>
        <v>179</v>
      </c>
      <c r="BQ12" s="19">
        <f t="shared" si="38"/>
        <v>113.70282477225753</v>
      </c>
      <c r="BR12" s="23">
        <f>BR13+BR20+BR14</f>
        <v>1170.9</v>
      </c>
      <c r="BS12" s="23">
        <f>BS13+BS20+BS14</f>
        <v>1392.9</v>
      </c>
      <c r="BT12" s="7">
        <f t="shared" si="23"/>
        <v>222</v>
      </c>
      <c r="BU12" s="7">
        <f t="shared" si="24"/>
        <v>118.95977453241096</v>
      </c>
      <c r="BV12" s="25">
        <f>BV13+BV20+BV14</f>
        <v>167.60000000000002</v>
      </c>
      <c r="BW12" s="25">
        <f>BW13+BW20+BW14</f>
        <v>1607.9</v>
      </c>
      <c r="BX12" s="7">
        <f t="shared" si="25"/>
        <v>1440.3000000000002</v>
      </c>
      <c r="BY12" s="20" t="s">
        <v>27</v>
      </c>
    </row>
    <row r="13" spans="1:77" ht="41.25" customHeight="1">
      <c r="A13" s="46" t="s">
        <v>108</v>
      </c>
      <c r="B13" s="30">
        <f t="shared" si="27"/>
        <v>7729.3</v>
      </c>
      <c r="C13" s="31">
        <f t="shared" si="27"/>
        <v>9271.7</v>
      </c>
      <c r="D13" s="33">
        <f t="shared" si="0"/>
        <v>1542.4000000000005</v>
      </c>
      <c r="E13" s="220">
        <f t="shared" si="1"/>
        <v>119.9552352735694</v>
      </c>
      <c r="F13" s="34">
        <f t="shared" si="2"/>
        <v>4166.4</v>
      </c>
      <c r="G13" s="35">
        <f t="shared" si="2"/>
        <v>4363.700000000001</v>
      </c>
      <c r="H13" s="35">
        <f t="shared" si="3"/>
        <v>197.3000000000011</v>
      </c>
      <c r="I13" s="36">
        <f>G13/F13%</f>
        <v>104.73550307219665</v>
      </c>
      <c r="J13" s="37">
        <f t="shared" si="45"/>
        <v>1489.8</v>
      </c>
      <c r="K13" s="38">
        <f t="shared" si="46"/>
        <v>1928.7000000000003</v>
      </c>
      <c r="L13" s="38">
        <f t="shared" si="5"/>
        <v>438.9000000000003</v>
      </c>
      <c r="M13" s="43">
        <f t="shared" si="6"/>
        <v>129.46033024567058</v>
      </c>
      <c r="N13" s="39">
        <v>517.4</v>
      </c>
      <c r="O13" s="31">
        <v>625.1</v>
      </c>
      <c r="P13" s="32">
        <f t="shared" si="7"/>
        <v>107.70000000000005</v>
      </c>
      <c r="Q13" s="32" t="s">
        <v>27</v>
      </c>
      <c r="R13" s="31">
        <v>470</v>
      </c>
      <c r="S13" s="31">
        <v>610.2</v>
      </c>
      <c r="T13" s="32">
        <f t="shared" si="9"/>
        <v>140.20000000000005</v>
      </c>
      <c r="U13" s="7">
        <f t="shared" si="39"/>
        <v>129.82978723404256</v>
      </c>
      <c r="V13" s="31">
        <v>502.4</v>
      </c>
      <c r="W13" s="31">
        <f>647.4+46</f>
        <v>693.4</v>
      </c>
      <c r="X13" s="32">
        <f t="shared" si="10"/>
        <v>191</v>
      </c>
      <c r="Y13" s="32">
        <f t="shared" si="11"/>
        <v>138.01751592356686</v>
      </c>
      <c r="Z13" s="38">
        <f t="shared" si="40"/>
        <v>2676.6</v>
      </c>
      <c r="AA13" s="38">
        <f t="shared" si="28"/>
        <v>2435</v>
      </c>
      <c r="AB13" s="38">
        <f t="shared" si="29"/>
        <v>-241.5999999999999</v>
      </c>
      <c r="AC13" s="38">
        <f>AA13/Z13%</f>
        <v>90.97362325338116</v>
      </c>
      <c r="AD13" s="31">
        <v>543.5</v>
      </c>
      <c r="AE13" s="31">
        <v>752.6</v>
      </c>
      <c r="AF13" s="32">
        <f t="shared" si="30"/>
        <v>209.10000000000002</v>
      </c>
      <c r="AG13" s="32">
        <f>AE13/AD13%</f>
        <v>138.4728610855566</v>
      </c>
      <c r="AH13" s="31">
        <v>473.4</v>
      </c>
      <c r="AI13" s="31">
        <v>857</v>
      </c>
      <c r="AJ13" s="32">
        <f t="shared" si="12"/>
        <v>383.6</v>
      </c>
      <c r="AK13" s="32">
        <f t="shared" si="42"/>
        <v>181.03084072665823</v>
      </c>
      <c r="AL13" s="341">
        <f>659.7+1000</f>
        <v>1659.7</v>
      </c>
      <c r="AM13" s="31">
        <v>825.4</v>
      </c>
      <c r="AN13" s="32">
        <f t="shared" si="13"/>
        <v>-834.3000000000001</v>
      </c>
      <c r="AO13" s="32">
        <f t="shared" si="14"/>
        <v>49.7318792552871</v>
      </c>
      <c r="AP13" s="40">
        <f t="shared" si="47"/>
        <v>6192.5</v>
      </c>
      <c r="AQ13" s="41">
        <f t="shared" si="32"/>
        <v>6618.000000000001</v>
      </c>
      <c r="AR13" s="41">
        <f t="shared" si="15"/>
        <v>425.5000000000009</v>
      </c>
      <c r="AS13" s="42">
        <f>AQ13/AP13%</f>
        <v>106.87121517965282</v>
      </c>
      <c r="AT13" s="37">
        <f t="shared" si="33"/>
        <v>2026.1</v>
      </c>
      <c r="AU13" s="38">
        <f t="shared" si="48"/>
        <v>2254.3</v>
      </c>
      <c r="AV13" s="38">
        <f t="shared" si="43"/>
        <v>228.20000000000027</v>
      </c>
      <c r="AW13" s="43">
        <f>AU13/AT13%</f>
        <v>111.26301762005825</v>
      </c>
      <c r="AX13" s="30">
        <v>742.6</v>
      </c>
      <c r="AY13" s="31">
        <v>778</v>
      </c>
      <c r="AZ13" s="32">
        <f t="shared" si="49"/>
        <v>35.39999999999998</v>
      </c>
      <c r="BA13" s="44">
        <f t="shared" si="44"/>
        <v>104.76703474279559</v>
      </c>
      <c r="BB13" s="30">
        <v>649</v>
      </c>
      <c r="BC13" s="31">
        <v>838.9</v>
      </c>
      <c r="BD13" s="32">
        <f t="shared" si="18"/>
        <v>189.89999999999998</v>
      </c>
      <c r="BE13" s="28">
        <f>BC13/BB13%</f>
        <v>129.26040061633282</v>
      </c>
      <c r="BF13" s="39">
        <v>634.5</v>
      </c>
      <c r="BG13" s="31">
        <v>637.4</v>
      </c>
      <c r="BH13" s="32">
        <f t="shared" si="20"/>
        <v>2.8999999999999773</v>
      </c>
      <c r="BI13" s="28">
        <f aca="true" t="shared" si="50" ref="BI13:BI20">BG13/BF13%</f>
        <v>100.45705279747833</v>
      </c>
      <c r="BJ13" s="45">
        <f t="shared" si="34"/>
        <v>1536.8</v>
      </c>
      <c r="BK13" s="38">
        <f t="shared" si="35"/>
        <v>2653.7</v>
      </c>
      <c r="BL13" s="38">
        <f t="shared" si="36"/>
        <v>1116.8999999999999</v>
      </c>
      <c r="BM13" s="43">
        <f>BK13/BJ13%</f>
        <v>172.67699115044246</v>
      </c>
      <c r="BN13" s="30">
        <v>846.3</v>
      </c>
      <c r="BO13" s="31">
        <v>890.5</v>
      </c>
      <c r="BP13" s="7">
        <f t="shared" si="22"/>
        <v>44.200000000000045</v>
      </c>
      <c r="BQ13" s="44">
        <f>BO13/BN13%</f>
        <v>105.22273425499233</v>
      </c>
      <c r="BR13" s="341">
        <f>719.9-29.4</f>
        <v>690.5</v>
      </c>
      <c r="BS13" s="31">
        <v>863.7</v>
      </c>
      <c r="BT13" s="32">
        <f t="shared" si="23"/>
        <v>173.20000000000005</v>
      </c>
      <c r="BU13" s="32">
        <f>BS13/BR13%</f>
        <v>125.08327299058654</v>
      </c>
      <c r="BV13" s="342">
        <f>970.6-970.6</f>
        <v>0</v>
      </c>
      <c r="BW13" s="31">
        <v>899.5</v>
      </c>
      <c r="BX13" s="32">
        <f t="shared" si="25"/>
        <v>899.5</v>
      </c>
      <c r="BY13" s="32"/>
    </row>
    <row r="14" spans="1:77" ht="60.75" customHeight="1">
      <c r="A14" s="234" t="s">
        <v>109</v>
      </c>
      <c r="B14" s="30">
        <f t="shared" si="27"/>
        <v>6285.7</v>
      </c>
      <c r="C14" s="31">
        <f t="shared" si="27"/>
        <v>6786.6</v>
      </c>
      <c r="D14" s="33">
        <f>C14-B14</f>
        <v>500.90000000000055</v>
      </c>
      <c r="E14" s="220">
        <f t="shared" si="1"/>
        <v>107.96888174745852</v>
      </c>
      <c r="F14" s="34">
        <f t="shared" si="2"/>
        <v>2980.3999999999996</v>
      </c>
      <c r="G14" s="35">
        <f t="shared" si="2"/>
        <v>3456.6000000000004</v>
      </c>
      <c r="H14" s="235">
        <f t="shared" si="3"/>
        <v>476.2000000000007</v>
      </c>
      <c r="I14" s="236">
        <f>G14/F14%</f>
        <v>115.97772111126027</v>
      </c>
      <c r="J14" s="37">
        <f t="shared" si="45"/>
        <v>1129.3</v>
      </c>
      <c r="K14" s="38">
        <f t="shared" si="46"/>
        <v>1731</v>
      </c>
      <c r="L14" s="38">
        <f t="shared" si="5"/>
        <v>601.7</v>
      </c>
      <c r="M14" s="43">
        <f t="shared" si="6"/>
        <v>153.28079341184807</v>
      </c>
      <c r="N14" s="237">
        <v>277.4</v>
      </c>
      <c r="O14" s="31">
        <v>822</v>
      </c>
      <c r="P14" s="33">
        <f t="shared" si="7"/>
        <v>544.6</v>
      </c>
      <c r="Q14" s="32" t="s">
        <v>27</v>
      </c>
      <c r="R14" s="237">
        <v>365</v>
      </c>
      <c r="S14" s="31">
        <v>444.3</v>
      </c>
      <c r="T14" s="33">
        <f t="shared" si="9"/>
        <v>79.30000000000001</v>
      </c>
      <c r="U14" s="7">
        <f t="shared" si="39"/>
        <v>121.72602739726028</v>
      </c>
      <c r="V14" s="237">
        <v>486.9</v>
      </c>
      <c r="W14" s="31">
        <f>454.4+10.3</f>
        <v>464.7</v>
      </c>
      <c r="X14" s="33">
        <f t="shared" si="10"/>
        <v>-22.19999999999999</v>
      </c>
      <c r="Y14" s="220">
        <f t="shared" si="11"/>
        <v>95.44054220579174</v>
      </c>
      <c r="Z14" s="38">
        <f t="shared" si="40"/>
        <v>1851.1</v>
      </c>
      <c r="AA14" s="38">
        <f t="shared" si="28"/>
        <v>1725.6000000000001</v>
      </c>
      <c r="AB14" s="38">
        <f t="shared" si="29"/>
        <v>-125.49999999999977</v>
      </c>
      <c r="AC14" s="38">
        <f>AA14/Z14%</f>
        <v>93.22024742045272</v>
      </c>
      <c r="AD14" s="237">
        <v>437</v>
      </c>
      <c r="AE14" s="31">
        <v>498.6</v>
      </c>
      <c r="AF14" s="33">
        <f t="shared" si="30"/>
        <v>61.60000000000002</v>
      </c>
      <c r="AG14" s="220">
        <f>AE14/AD14%</f>
        <v>114.09610983981693</v>
      </c>
      <c r="AH14" s="237">
        <v>495.6</v>
      </c>
      <c r="AI14" s="31">
        <v>749.7</v>
      </c>
      <c r="AJ14" s="33">
        <f t="shared" si="12"/>
        <v>254.10000000000002</v>
      </c>
      <c r="AK14" s="32">
        <f t="shared" si="42"/>
        <v>151.27118644067795</v>
      </c>
      <c r="AL14" s="348">
        <f>418.5+500</f>
        <v>918.5</v>
      </c>
      <c r="AM14" s="31">
        <v>477.3</v>
      </c>
      <c r="AN14" s="33">
        <f t="shared" si="13"/>
        <v>-441.2</v>
      </c>
      <c r="AO14" s="220">
        <f t="shared" si="14"/>
        <v>51.96516058791508</v>
      </c>
      <c r="AP14" s="40">
        <f t="shared" si="47"/>
        <v>5267.7</v>
      </c>
      <c r="AQ14" s="41">
        <f t="shared" si="32"/>
        <v>5159.200000000001</v>
      </c>
      <c r="AR14" s="41">
        <f t="shared" si="15"/>
        <v>-108.49999999999909</v>
      </c>
      <c r="AS14" s="42">
        <f>AQ14/AP14%</f>
        <v>97.94027754048258</v>
      </c>
      <c r="AT14" s="37">
        <f t="shared" si="33"/>
        <v>2287.3</v>
      </c>
      <c r="AU14" s="38">
        <f t="shared" si="48"/>
        <v>1702.6</v>
      </c>
      <c r="AV14" s="38">
        <f t="shared" si="43"/>
        <v>-584.7000000000003</v>
      </c>
      <c r="AW14" s="43">
        <f>AU14/AT14%</f>
        <v>74.43710925545402</v>
      </c>
      <c r="AX14" s="237">
        <v>489.3</v>
      </c>
      <c r="AY14" s="31">
        <v>537.4</v>
      </c>
      <c r="AZ14" s="33">
        <f t="shared" si="49"/>
        <v>48.099999999999966</v>
      </c>
      <c r="BA14" s="238">
        <f t="shared" si="44"/>
        <v>109.83036991620682</v>
      </c>
      <c r="BB14" s="237">
        <v>543.6</v>
      </c>
      <c r="BC14" s="31">
        <v>524.9</v>
      </c>
      <c r="BD14" s="33">
        <f t="shared" si="18"/>
        <v>-18.700000000000045</v>
      </c>
      <c r="BE14" s="220">
        <f>BC14/BB14%</f>
        <v>96.55997056659308</v>
      </c>
      <c r="BF14" s="239">
        <v>1254.4</v>
      </c>
      <c r="BG14" s="31">
        <v>640.3</v>
      </c>
      <c r="BH14" s="33">
        <f t="shared" si="20"/>
        <v>-614.1000000000001</v>
      </c>
      <c r="BI14" s="220">
        <f t="shared" si="50"/>
        <v>51.04432397959183</v>
      </c>
      <c r="BJ14" s="45">
        <f t="shared" si="34"/>
        <v>1018</v>
      </c>
      <c r="BK14" s="38">
        <f t="shared" si="35"/>
        <v>1627.4</v>
      </c>
      <c r="BL14" s="38">
        <f t="shared" si="36"/>
        <v>609.4000000000001</v>
      </c>
      <c r="BM14" s="43">
        <f>BK14/BJ14%</f>
        <v>159.86247544204323</v>
      </c>
      <c r="BN14" s="237">
        <v>430</v>
      </c>
      <c r="BO14" s="31">
        <v>544.8</v>
      </c>
      <c r="BP14" s="33">
        <f t="shared" si="22"/>
        <v>114.79999999999995</v>
      </c>
      <c r="BQ14" s="238">
        <f>BO14/BN14%</f>
        <v>126.69767441860465</v>
      </c>
      <c r="BR14" s="31">
        <v>450.4</v>
      </c>
      <c r="BS14" s="31">
        <v>514.2</v>
      </c>
      <c r="BT14" s="33">
        <f t="shared" si="23"/>
        <v>63.80000000000007</v>
      </c>
      <c r="BU14" s="33">
        <f>BS14/BR14%</f>
        <v>114.16518650088813</v>
      </c>
      <c r="BV14" s="343">
        <f>637.6-500</f>
        <v>137.60000000000002</v>
      </c>
      <c r="BW14" s="31">
        <v>568.4</v>
      </c>
      <c r="BX14" s="33">
        <f t="shared" si="25"/>
        <v>430.79999999999995</v>
      </c>
      <c r="BY14" s="220">
        <f t="shared" si="26"/>
        <v>413.0813953488371</v>
      </c>
    </row>
    <row r="15" spans="1:78" ht="15.75" customHeight="1" hidden="1">
      <c r="A15" s="240" t="s">
        <v>110</v>
      </c>
      <c r="B15" s="241">
        <f t="shared" si="27"/>
        <v>0</v>
      </c>
      <c r="C15" s="242">
        <f t="shared" si="27"/>
        <v>0</v>
      </c>
      <c r="D15" s="243">
        <f t="shared" si="0"/>
        <v>0</v>
      </c>
      <c r="E15" s="244" t="e">
        <f t="shared" si="1"/>
        <v>#DIV/0!</v>
      </c>
      <c r="F15" s="245">
        <f t="shared" si="2"/>
        <v>0</v>
      </c>
      <c r="G15" s="243">
        <f t="shared" si="2"/>
        <v>0</v>
      </c>
      <c r="H15" s="243">
        <f t="shared" si="3"/>
        <v>0</v>
      </c>
      <c r="I15" s="246" t="e">
        <f>G15/F15%</f>
        <v>#DIV/0!</v>
      </c>
      <c r="J15" s="247">
        <f t="shared" si="45"/>
        <v>0</v>
      </c>
      <c r="K15" s="243">
        <f t="shared" si="46"/>
        <v>0</v>
      </c>
      <c r="L15" s="243">
        <f t="shared" si="5"/>
        <v>0</v>
      </c>
      <c r="M15" s="244" t="e">
        <f t="shared" si="6"/>
        <v>#DIV/0!</v>
      </c>
      <c r="N15" s="248"/>
      <c r="O15" s="242"/>
      <c r="P15" s="243"/>
      <c r="Q15" s="220" t="e">
        <f t="shared" si="8"/>
        <v>#DIV/0!</v>
      </c>
      <c r="R15" s="242"/>
      <c r="S15" s="242"/>
      <c r="T15" s="243"/>
      <c r="U15" s="7" t="e">
        <f t="shared" si="39"/>
        <v>#DIV/0!</v>
      </c>
      <c r="V15" s="242"/>
      <c r="W15" s="242"/>
      <c r="X15" s="243">
        <f t="shared" si="10"/>
        <v>0</v>
      </c>
      <c r="Y15" s="243" t="e">
        <f t="shared" si="11"/>
        <v>#DIV/0!</v>
      </c>
      <c r="Z15" s="243">
        <f t="shared" si="40"/>
        <v>0</v>
      </c>
      <c r="AA15" s="243">
        <f t="shared" si="28"/>
        <v>0</v>
      </c>
      <c r="AB15" s="243">
        <f t="shared" si="29"/>
        <v>0</v>
      </c>
      <c r="AC15" s="243" t="e">
        <f>AA15/Z15%</f>
        <v>#DIV/0!</v>
      </c>
      <c r="AD15" s="242"/>
      <c r="AE15" s="242"/>
      <c r="AF15" s="243">
        <f t="shared" si="30"/>
        <v>0</v>
      </c>
      <c r="AG15" s="243"/>
      <c r="AH15" s="242"/>
      <c r="AI15" s="242"/>
      <c r="AJ15" s="243"/>
      <c r="AK15" s="32" t="e">
        <f t="shared" si="42"/>
        <v>#DIV/0!</v>
      </c>
      <c r="AL15" s="242"/>
      <c r="AM15" s="242"/>
      <c r="AN15" s="243">
        <f t="shared" si="13"/>
        <v>0</v>
      </c>
      <c r="AO15" s="243" t="e">
        <f t="shared" si="14"/>
        <v>#DIV/0!</v>
      </c>
      <c r="AP15" s="245">
        <f t="shared" si="47"/>
        <v>0</v>
      </c>
      <c r="AQ15" s="243">
        <f t="shared" si="32"/>
        <v>0</v>
      </c>
      <c r="AR15" s="243">
        <f t="shared" si="15"/>
        <v>0</v>
      </c>
      <c r="AS15" s="244" t="e">
        <f>AQ15/AP15%</f>
        <v>#DIV/0!</v>
      </c>
      <c r="AT15" s="247">
        <f t="shared" si="33"/>
        <v>0</v>
      </c>
      <c r="AU15" s="243">
        <f t="shared" si="48"/>
        <v>0</v>
      </c>
      <c r="AV15" s="243">
        <f t="shared" si="43"/>
        <v>0</v>
      </c>
      <c r="AW15" s="244" t="e">
        <f>AU15/AT15%</f>
        <v>#DIV/0!</v>
      </c>
      <c r="AX15" s="241"/>
      <c r="AY15" s="242"/>
      <c r="AZ15" s="243"/>
      <c r="BA15" s="246"/>
      <c r="BB15" s="241"/>
      <c r="BC15" s="242"/>
      <c r="BD15" s="243"/>
      <c r="BE15" s="244"/>
      <c r="BF15" s="248"/>
      <c r="BG15" s="242"/>
      <c r="BH15" s="243">
        <f t="shared" si="20"/>
        <v>0</v>
      </c>
      <c r="BI15" s="244" t="e">
        <f t="shared" si="50"/>
        <v>#DIV/0!</v>
      </c>
      <c r="BJ15" s="245">
        <f t="shared" si="34"/>
        <v>0</v>
      </c>
      <c r="BK15" s="243"/>
      <c r="BL15" s="243"/>
      <c r="BM15" s="244"/>
      <c r="BN15" s="241"/>
      <c r="BO15" s="242"/>
      <c r="BP15" s="249"/>
      <c r="BQ15" s="238" t="e">
        <f aca="true" t="shared" si="51" ref="BQ15:BQ20">BO15/BN15%</f>
        <v>#DIV/0!</v>
      </c>
      <c r="BR15" s="242"/>
      <c r="BS15" s="242"/>
      <c r="BT15" s="243"/>
      <c r="BU15" s="243"/>
      <c r="BV15" s="248"/>
      <c r="BW15" s="242"/>
      <c r="BX15" s="243">
        <f t="shared" si="25"/>
        <v>0</v>
      </c>
      <c r="BY15" s="243" t="e">
        <f t="shared" si="26"/>
        <v>#DIV/0!</v>
      </c>
      <c r="BZ15" s="250"/>
    </row>
    <row r="16" spans="1:78" ht="15.75" customHeight="1" hidden="1">
      <c r="A16" s="240" t="s">
        <v>111</v>
      </c>
      <c r="B16" s="241"/>
      <c r="C16" s="242">
        <f>K16+AA16+AU16+BK16</f>
        <v>0</v>
      </c>
      <c r="D16" s="243">
        <f>C16-B16</f>
        <v>0</v>
      </c>
      <c r="E16" s="244"/>
      <c r="F16" s="245">
        <f t="shared" si="2"/>
        <v>0</v>
      </c>
      <c r="G16" s="243">
        <f t="shared" si="2"/>
        <v>0</v>
      </c>
      <c r="H16" s="243">
        <f t="shared" si="3"/>
        <v>0</v>
      </c>
      <c r="I16" s="246"/>
      <c r="J16" s="247"/>
      <c r="K16" s="243">
        <f t="shared" si="46"/>
        <v>0</v>
      </c>
      <c r="L16" s="243">
        <f t="shared" si="5"/>
        <v>0</v>
      </c>
      <c r="M16" s="244"/>
      <c r="N16" s="248"/>
      <c r="O16" s="242"/>
      <c r="P16" s="243"/>
      <c r="Q16" s="220" t="e">
        <f t="shared" si="8"/>
        <v>#DIV/0!</v>
      </c>
      <c r="R16" s="242"/>
      <c r="S16" s="242"/>
      <c r="T16" s="243"/>
      <c r="U16" s="7" t="e">
        <f t="shared" si="39"/>
        <v>#DIV/0!</v>
      </c>
      <c r="V16" s="242"/>
      <c r="W16" s="242"/>
      <c r="X16" s="243"/>
      <c r="Y16" s="243"/>
      <c r="Z16" s="243"/>
      <c r="AA16" s="243">
        <f t="shared" si="28"/>
        <v>0</v>
      </c>
      <c r="AB16" s="243">
        <f t="shared" si="29"/>
        <v>0</v>
      </c>
      <c r="AC16" s="243"/>
      <c r="AD16" s="242"/>
      <c r="AE16" s="242"/>
      <c r="AF16" s="243">
        <f t="shared" si="30"/>
        <v>0</v>
      </c>
      <c r="AG16" s="243"/>
      <c r="AH16" s="242"/>
      <c r="AI16" s="242"/>
      <c r="AJ16" s="243"/>
      <c r="AK16" s="32" t="e">
        <f t="shared" si="42"/>
        <v>#DIV/0!</v>
      </c>
      <c r="AL16" s="242"/>
      <c r="AM16" s="242"/>
      <c r="AN16" s="243"/>
      <c r="AO16" s="243"/>
      <c r="AP16" s="245">
        <f t="shared" si="47"/>
        <v>0</v>
      </c>
      <c r="AQ16" s="243">
        <f t="shared" si="32"/>
        <v>0</v>
      </c>
      <c r="AR16" s="243">
        <f t="shared" si="15"/>
        <v>0</v>
      </c>
      <c r="AS16" s="244"/>
      <c r="AT16" s="247">
        <f t="shared" si="33"/>
        <v>0</v>
      </c>
      <c r="AU16" s="243">
        <f t="shared" si="48"/>
        <v>0</v>
      </c>
      <c r="AV16" s="243">
        <f t="shared" si="43"/>
        <v>0</v>
      </c>
      <c r="AW16" s="244"/>
      <c r="AX16" s="241"/>
      <c r="AY16" s="242"/>
      <c r="AZ16" s="243"/>
      <c r="BA16" s="246"/>
      <c r="BB16" s="241"/>
      <c r="BC16" s="242"/>
      <c r="BD16" s="243"/>
      <c r="BE16" s="244"/>
      <c r="BF16" s="248"/>
      <c r="BG16" s="242"/>
      <c r="BH16" s="243"/>
      <c r="BI16" s="244"/>
      <c r="BJ16" s="245"/>
      <c r="BK16" s="243"/>
      <c r="BL16" s="243"/>
      <c r="BM16" s="244"/>
      <c r="BN16" s="241"/>
      <c r="BO16" s="242"/>
      <c r="BP16" s="249"/>
      <c r="BQ16" s="238" t="e">
        <f t="shared" si="51"/>
        <v>#DIV/0!</v>
      </c>
      <c r="BR16" s="242"/>
      <c r="BS16" s="242"/>
      <c r="BT16" s="243"/>
      <c r="BU16" s="243"/>
      <c r="BV16" s="248"/>
      <c r="BW16" s="242"/>
      <c r="BX16" s="243"/>
      <c r="BY16" s="243"/>
      <c r="BZ16" s="250"/>
    </row>
    <row r="17" spans="1:78" ht="15.75" customHeight="1" hidden="1">
      <c r="A17" s="251" t="s">
        <v>112</v>
      </c>
      <c r="B17" s="241">
        <f>J17+Z17+AT17+BJ17</f>
        <v>0</v>
      </c>
      <c r="C17" s="242">
        <f>K17+AA17+AU17+BK17</f>
        <v>0</v>
      </c>
      <c r="D17" s="243">
        <f t="shared" si="0"/>
        <v>0</v>
      </c>
      <c r="E17" s="244" t="e">
        <f t="shared" si="1"/>
        <v>#DIV/0!</v>
      </c>
      <c r="F17" s="245">
        <f t="shared" si="2"/>
        <v>0</v>
      </c>
      <c r="G17" s="243">
        <f t="shared" si="2"/>
        <v>0</v>
      </c>
      <c r="H17" s="243">
        <f t="shared" si="3"/>
        <v>0</v>
      </c>
      <c r="I17" s="246" t="e">
        <f>G17/F17%</f>
        <v>#DIV/0!</v>
      </c>
      <c r="J17" s="247">
        <f t="shared" si="45"/>
        <v>0</v>
      </c>
      <c r="K17" s="243">
        <f t="shared" si="46"/>
        <v>0</v>
      </c>
      <c r="L17" s="243">
        <f t="shared" si="5"/>
        <v>0</v>
      </c>
      <c r="M17" s="244" t="e">
        <f t="shared" si="6"/>
        <v>#DIV/0!</v>
      </c>
      <c r="N17" s="248"/>
      <c r="O17" s="242"/>
      <c r="P17" s="243"/>
      <c r="Q17" s="220" t="e">
        <f t="shared" si="8"/>
        <v>#DIV/0!</v>
      </c>
      <c r="R17" s="242"/>
      <c r="S17" s="242"/>
      <c r="T17" s="243"/>
      <c r="U17" s="7" t="e">
        <f t="shared" si="39"/>
        <v>#DIV/0!</v>
      </c>
      <c r="V17" s="242"/>
      <c r="W17" s="242"/>
      <c r="X17" s="243">
        <f t="shared" si="10"/>
        <v>0</v>
      </c>
      <c r="Y17" s="243" t="e">
        <f>W17/V17%</f>
        <v>#DIV/0!</v>
      </c>
      <c r="Z17" s="243">
        <f t="shared" si="40"/>
        <v>0</v>
      </c>
      <c r="AA17" s="243">
        <f t="shared" si="28"/>
        <v>0</v>
      </c>
      <c r="AB17" s="243">
        <f t="shared" si="29"/>
        <v>0</v>
      </c>
      <c r="AC17" s="243" t="e">
        <f>AA17/Z17%</f>
        <v>#DIV/0!</v>
      </c>
      <c r="AD17" s="242"/>
      <c r="AE17" s="242"/>
      <c r="AF17" s="243">
        <f t="shared" si="30"/>
        <v>0</v>
      </c>
      <c r="AG17" s="243"/>
      <c r="AH17" s="242"/>
      <c r="AI17" s="242"/>
      <c r="AJ17" s="243"/>
      <c r="AK17" s="32" t="e">
        <f t="shared" si="42"/>
        <v>#DIV/0!</v>
      </c>
      <c r="AL17" s="242"/>
      <c r="AM17" s="242"/>
      <c r="AN17" s="243">
        <f t="shared" si="13"/>
        <v>0</v>
      </c>
      <c r="AO17" s="243" t="e">
        <f t="shared" si="14"/>
        <v>#DIV/0!</v>
      </c>
      <c r="AP17" s="245">
        <f t="shared" si="47"/>
        <v>0</v>
      </c>
      <c r="AQ17" s="243">
        <f t="shared" si="32"/>
        <v>0</v>
      </c>
      <c r="AR17" s="243">
        <f t="shared" si="15"/>
        <v>0</v>
      </c>
      <c r="AS17" s="244" t="e">
        <f>AQ17/AP17%</f>
        <v>#DIV/0!</v>
      </c>
      <c r="AT17" s="247">
        <f t="shared" si="33"/>
        <v>0</v>
      </c>
      <c r="AU17" s="243">
        <f t="shared" si="48"/>
        <v>0</v>
      </c>
      <c r="AV17" s="243">
        <f t="shared" si="43"/>
        <v>0</v>
      </c>
      <c r="AW17" s="244" t="e">
        <f>AU17/AT17%</f>
        <v>#DIV/0!</v>
      </c>
      <c r="AX17" s="241"/>
      <c r="AY17" s="242"/>
      <c r="AZ17" s="243"/>
      <c r="BA17" s="246"/>
      <c r="BB17" s="241"/>
      <c r="BC17" s="242"/>
      <c r="BD17" s="243"/>
      <c r="BE17" s="244"/>
      <c r="BF17" s="248"/>
      <c r="BG17" s="242"/>
      <c r="BH17" s="243">
        <f t="shared" si="20"/>
        <v>0</v>
      </c>
      <c r="BI17" s="244" t="e">
        <f t="shared" si="50"/>
        <v>#DIV/0!</v>
      </c>
      <c r="BJ17" s="245">
        <f t="shared" si="34"/>
        <v>0</v>
      </c>
      <c r="BK17" s="243"/>
      <c r="BL17" s="243"/>
      <c r="BM17" s="244"/>
      <c r="BN17" s="241"/>
      <c r="BO17" s="242"/>
      <c r="BP17" s="249"/>
      <c r="BQ17" s="238" t="e">
        <f t="shared" si="51"/>
        <v>#DIV/0!</v>
      </c>
      <c r="BR17" s="242"/>
      <c r="BS17" s="242"/>
      <c r="BT17" s="243"/>
      <c r="BU17" s="243"/>
      <c r="BV17" s="248"/>
      <c r="BW17" s="242"/>
      <c r="BX17" s="243">
        <f t="shared" si="25"/>
        <v>0</v>
      </c>
      <c r="BY17" s="243" t="e">
        <f t="shared" si="26"/>
        <v>#DIV/0!</v>
      </c>
      <c r="BZ17" s="250"/>
    </row>
    <row r="18" spans="1:78" ht="15.75" customHeight="1" hidden="1">
      <c r="A18" s="251" t="s">
        <v>113</v>
      </c>
      <c r="B18" s="241"/>
      <c r="C18" s="242"/>
      <c r="D18" s="243"/>
      <c r="E18" s="244"/>
      <c r="F18" s="245">
        <f t="shared" si="2"/>
        <v>0</v>
      </c>
      <c r="G18" s="243">
        <f t="shared" si="2"/>
        <v>0</v>
      </c>
      <c r="H18" s="243">
        <f t="shared" si="3"/>
        <v>0</v>
      </c>
      <c r="I18" s="246" t="e">
        <f>G18/F18%</f>
        <v>#DIV/0!</v>
      </c>
      <c r="J18" s="247"/>
      <c r="K18" s="243"/>
      <c r="L18" s="243"/>
      <c r="M18" s="244"/>
      <c r="N18" s="248"/>
      <c r="O18" s="242"/>
      <c r="P18" s="243"/>
      <c r="Q18" s="220" t="e">
        <f t="shared" si="8"/>
        <v>#DIV/0!</v>
      </c>
      <c r="R18" s="242"/>
      <c r="S18" s="242"/>
      <c r="T18" s="243"/>
      <c r="U18" s="7" t="e">
        <f t="shared" si="39"/>
        <v>#DIV/0!</v>
      </c>
      <c r="V18" s="242"/>
      <c r="W18" s="242"/>
      <c r="X18" s="243"/>
      <c r="Y18" s="243"/>
      <c r="Z18" s="243"/>
      <c r="AA18" s="243">
        <f t="shared" si="28"/>
        <v>0</v>
      </c>
      <c r="AB18" s="243">
        <f t="shared" si="29"/>
        <v>0</v>
      </c>
      <c r="AC18" s="243" t="e">
        <f>AA18/Z18%</f>
        <v>#DIV/0!</v>
      </c>
      <c r="AD18" s="242"/>
      <c r="AE18" s="242"/>
      <c r="AF18" s="243">
        <f t="shared" si="30"/>
        <v>0</v>
      </c>
      <c r="AG18" s="243"/>
      <c r="AH18" s="242"/>
      <c r="AI18" s="242"/>
      <c r="AJ18" s="243"/>
      <c r="AK18" s="32" t="e">
        <f t="shared" si="42"/>
        <v>#DIV/0!</v>
      </c>
      <c r="AL18" s="242"/>
      <c r="AM18" s="242"/>
      <c r="AN18" s="243"/>
      <c r="AO18" s="243"/>
      <c r="AP18" s="245">
        <f t="shared" si="47"/>
        <v>0</v>
      </c>
      <c r="AQ18" s="243">
        <f t="shared" si="32"/>
        <v>0</v>
      </c>
      <c r="AR18" s="243">
        <f t="shared" si="15"/>
        <v>0</v>
      </c>
      <c r="AS18" s="244" t="e">
        <f>AQ18/AP18%</f>
        <v>#DIV/0!</v>
      </c>
      <c r="AT18" s="247"/>
      <c r="AU18" s="243">
        <f t="shared" si="48"/>
        <v>0</v>
      </c>
      <c r="AV18" s="243">
        <f t="shared" si="43"/>
        <v>0</v>
      </c>
      <c r="AW18" s="244" t="e">
        <f>AU18/AT18%</f>
        <v>#DIV/0!</v>
      </c>
      <c r="AX18" s="241"/>
      <c r="AY18" s="242"/>
      <c r="AZ18" s="243"/>
      <c r="BA18" s="246"/>
      <c r="BB18" s="241"/>
      <c r="BC18" s="242"/>
      <c r="BD18" s="243"/>
      <c r="BE18" s="244"/>
      <c r="BF18" s="248"/>
      <c r="BG18" s="242"/>
      <c r="BH18" s="243"/>
      <c r="BI18" s="244"/>
      <c r="BJ18" s="245"/>
      <c r="BK18" s="243"/>
      <c r="BL18" s="243"/>
      <c r="BM18" s="244"/>
      <c r="BN18" s="241"/>
      <c r="BO18" s="242"/>
      <c r="BP18" s="249"/>
      <c r="BQ18" s="238" t="e">
        <f t="shared" si="51"/>
        <v>#DIV/0!</v>
      </c>
      <c r="BR18" s="242"/>
      <c r="BS18" s="242"/>
      <c r="BT18" s="243"/>
      <c r="BU18" s="243"/>
      <c r="BV18" s="248"/>
      <c r="BW18" s="242"/>
      <c r="BX18" s="243"/>
      <c r="BY18" s="243"/>
      <c r="BZ18" s="250"/>
    </row>
    <row r="19" spans="1:78" ht="15.75" customHeight="1" hidden="1">
      <c r="A19" s="251" t="s">
        <v>114</v>
      </c>
      <c r="B19" s="241">
        <f>J19+Z19+AT19+BJ19</f>
        <v>0</v>
      </c>
      <c r="C19" s="242">
        <f>K19+AA19+AU19+BK19</f>
        <v>0</v>
      </c>
      <c r="D19" s="243">
        <f t="shared" si="0"/>
        <v>0</v>
      </c>
      <c r="E19" s="244" t="e">
        <f t="shared" si="1"/>
        <v>#DIV/0!</v>
      </c>
      <c r="F19" s="245">
        <f t="shared" si="2"/>
        <v>0</v>
      </c>
      <c r="G19" s="243">
        <f t="shared" si="2"/>
        <v>0</v>
      </c>
      <c r="H19" s="243">
        <f t="shared" si="3"/>
        <v>0</v>
      </c>
      <c r="I19" s="246" t="e">
        <f>G19/F19%</f>
        <v>#DIV/0!</v>
      </c>
      <c r="J19" s="247">
        <f t="shared" si="45"/>
        <v>0</v>
      </c>
      <c r="K19" s="243">
        <f t="shared" si="46"/>
        <v>0</v>
      </c>
      <c r="L19" s="243">
        <f t="shared" si="5"/>
        <v>0</v>
      </c>
      <c r="M19" s="244" t="e">
        <f t="shared" si="6"/>
        <v>#DIV/0!</v>
      </c>
      <c r="N19" s="248"/>
      <c r="O19" s="242"/>
      <c r="P19" s="243"/>
      <c r="Q19" s="220" t="e">
        <f t="shared" si="8"/>
        <v>#DIV/0!</v>
      </c>
      <c r="R19" s="242"/>
      <c r="S19" s="242"/>
      <c r="T19" s="243"/>
      <c r="U19" s="7" t="e">
        <f t="shared" si="39"/>
        <v>#DIV/0!</v>
      </c>
      <c r="V19" s="242"/>
      <c r="W19" s="242"/>
      <c r="X19" s="243">
        <f t="shared" si="10"/>
        <v>0</v>
      </c>
      <c r="Y19" s="243" t="e">
        <f t="shared" si="11"/>
        <v>#DIV/0!</v>
      </c>
      <c r="Z19" s="243">
        <f t="shared" si="40"/>
        <v>0</v>
      </c>
      <c r="AA19" s="243">
        <f t="shared" si="28"/>
        <v>0</v>
      </c>
      <c r="AB19" s="243">
        <f t="shared" si="29"/>
        <v>0</v>
      </c>
      <c r="AC19" s="243" t="e">
        <f>AA19/Z19%</f>
        <v>#DIV/0!</v>
      </c>
      <c r="AD19" s="242"/>
      <c r="AE19" s="242"/>
      <c r="AF19" s="243">
        <f t="shared" si="30"/>
        <v>0</v>
      </c>
      <c r="AG19" s="243"/>
      <c r="AH19" s="242"/>
      <c r="AI19" s="242"/>
      <c r="AJ19" s="243"/>
      <c r="AK19" s="32" t="e">
        <f t="shared" si="42"/>
        <v>#DIV/0!</v>
      </c>
      <c r="AL19" s="242"/>
      <c r="AM19" s="242"/>
      <c r="AN19" s="243">
        <f t="shared" si="13"/>
        <v>0</v>
      </c>
      <c r="AO19" s="243" t="e">
        <f t="shared" si="14"/>
        <v>#DIV/0!</v>
      </c>
      <c r="AP19" s="245">
        <f t="shared" si="47"/>
        <v>0</v>
      </c>
      <c r="AQ19" s="243">
        <f t="shared" si="32"/>
        <v>0</v>
      </c>
      <c r="AR19" s="243">
        <f t="shared" si="15"/>
        <v>0</v>
      </c>
      <c r="AS19" s="244" t="e">
        <f>AQ19/AP19%</f>
        <v>#DIV/0!</v>
      </c>
      <c r="AT19" s="247">
        <f aca="true" t="shared" si="52" ref="AT19:AT39">AX19+BB19+BF19</f>
        <v>0</v>
      </c>
      <c r="AU19" s="243">
        <f t="shared" si="48"/>
        <v>0</v>
      </c>
      <c r="AV19" s="243">
        <f t="shared" si="43"/>
        <v>0</v>
      </c>
      <c r="AW19" s="244" t="e">
        <f>AU19/AT19%</f>
        <v>#DIV/0!</v>
      </c>
      <c r="AX19" s="241"/>
      <c r="AY19" s="242"/>
      <c r="AZ19" s="243"/>
      <c r="BA19" s="246"/>
      <c r="BB19" s="241"/>
      <c r="BC19" s="242"/>
      <c r="BD19" s="243"/>
      <c r="BE19" s="244"/>
      <c r="BF19" s="248"/>
      <c r="BG19" s="242"/>
      <c r="BH19" s="243">
        <f t="shared" si="20"/>
        <v>0</v>
      </c>
      <c r="BI19" s="244" t="e">
        <f t="shared" si="50"/>
        <v>#DIV/0!</v>
      </c>
      <c r="BJ19" s="245">
        <f t="shared" si="34"/>
        <v>0</v>
      </c>
      <c r="BK19" s="243"/>
      <c r="BL19" s="243"/>
      <c r="BM19" s="244"/>
      <c r="BN19" s="241"/>
      <c r="BO19" s="242"/>
      <c r="BP19" s="249"/>
      <c r="BQ19" s="238" t="e">
        <f t="shared" si="51"/>
        <v>#DIV/0!</v>
      </c>
      <c r="BR19" s="242"/>
      <c r="BS19" s="242"/>
      <c r="BT19" s="243"/>
      <c r="BU19" s="243"/>
      <c r="BV19" s="248"/>
      <c r="BW19" s="242"/>
      <c r="BX19" s="243">
        <f t="shared" si="25"/>
        <v>0</v>
      </c>
      <c r="BY19" s="243" t="e">
        <f t="shared" si="26"/>
        <v>#DIV/0!</v>
      </c>
      <c r="BZ19" s="250"/>
    </row>
    <row r="20" spans="1:77" ht="39.75" customHeight="1">
      <c r="A20" s="252" t="s">
        <v>147</v>
      </c>
      <c r="B20" s="30">
        <f>J20+Z20+AT20+BJ20</f>
        <v>364</v>
      </c>
      <c r="C20" s="31">
        <f>K20+AA20+AU20+BK20</f>
        <v>385</v>
      </c>
      <c r="D20" s="33">
        <f t="shared" si="0"/>
        <v>21</v>
      </c>
      <c r="E20" s="220">
        <f t="shared" si="1"/>
        <v>105.76923076923076</v>
      </c>
      <c r="F20" s="34">
        <f t="shared" si="2"/>
        <v>184</v>
      </c>
      <c r="G20" s="35">
        <f t="shared" si="2"/>
        <v>140</v>
      </c>
      <c r="H20" s="35">
        <f t="shared" si="3"/>
        <v>-44</v>
      </c>
      <c r="I20" s="36">
        <f>G20/F20%</f>
        <v>76.08695652173913</v>
      </c>
      <c r="J20" s="37">
        <f t="shared" si="45"/>
        <v>87</v>
      </c>
      <c r="K20" s="38">
        <f t="shared" si="46"/>
        <v>35</v>
      </c>
      <c r="L20" s="38">
        <f t="shared" si="5"/>
        <v>-52</v>
      </c>
      <c r="M20" s="43">
        <f t="shared" si="6"/>
        <v>40.229885057471265</v>
      </c>
      <c r="N20" s="39">
        <v>20</v>
      </c>
      <c r="O20" s="31">
        <v>15</v>
      </c>
      <c r="P20" s="32">
        <f t="shared" si="7"/>
        <v>-5</v>
      </c>
      <c r="Q20" s="220">
        <f t="shared" si="8"/>
        <v>75</v>
      </c>
      <c r="R20" s="31">
        <v>33</v>
      </c>
      <c r="S20" s="31">
        <v>10</v>
      </c>
      <c r="T20" s="32">
        <f t="shared" si="9"/>
        <v>-23</v>
      </c>
      <c r="U20" s="7">
        <f t="shared" si="39"/>
        <v>30.3030303030303</v>
      </c>
      <c r="V20" s="31">
        <v>34</v>
      </c>
      <c r="W20" s="31">
        <v>10</v>
      </c>
      <c r="X20" s="32">
        <f t="shared" si="10"/>
        <v>-24</v>
      </c>
      <c r="Y20" s="32">
        <f t="shared" si="11"/>
        <v>29.41176470588235</v>
      </c>
      <c r="Z20" s="38">
        <f t="shared" si="40"/>
        <v>97</v>
      </c>
      <c r="AA20" s="38">
        <f t="shared" si="28"/>
        <v>105</v>
      </c>
      <c r="AB20" s="38">
        <f t="shared" si="29"/>
        <v>8</v>
      </c>
      <c r="AC20" s="38">
        <f>AA20/Z20%</f>
        <v>108.24742268041237</v>
      </c>
      <c r="AD20" s="31">
        <v>33</v>
      </c>
      <c r="AE20" s="31">
        <v>35</v>
      </c>
      <c r="AF20" s="32">
        <f t="shared" si="30"/>
        <v>2</v>
      </c>
      <c r="AG20" s="32">
        <f>AE20/AD20%</f>
        <v>106.06060606060606</v>
      </c>
      <c r="AH20" s="31">
        <v>30</v>
      </c>
      <c r="AI20" s="31"/>
      <c r="AJ20" s="32">
        <f t="shared" si="12"/>
        <v>-30</v>
      </c>
      <c r="AK20" s="32">
        <f t="shared" si="42"/>
        <v>0</v>
      </c>
      <c r="AL20" s="31">
        <v>34</v>
      </c>
      <c r="AM20" s="31">
        <v>70</v>
      </c>
      <c r="AN20" s="32">
        <f t="shared" si="13"/>
        <v>36</v>
      </c>
      <c r="AO20" s="32">
        <f t="shared" si="14"/>
        <v>205.88235294117646</v>
      </c>
      <c r="AP20" s="40">
        <f t="shared" si="47"/>
        <v>274</v>
      </c>
      <c r="AQ20" s="41">
        <f t="shared" si="32"/>
        <v>180</v>
      </c>
      <c r="AR20" s="41">
        <f t="shared" si="15"/>
        <v>-94</v>
      </c>
      <c r="AS20" s="42">
        <f>AQ20/AP20%</f>
        <v>65.6934306569343</v>
      </c>
      <c r="AT20" s="37">
        <f t="shared" si="52"/>
        <v>90</v>
      </c>
      <c r="AU20" s="38">
        <f t="shared" si="48"/>
        <v>40</v>
      </c>
      <c r="AV20" s="38">
        <f t="shared" si="43"/>
        <v>-50</v>
      </c>
      <c r="AW20" s="43">
        <f>AU20/AT20%</f>
        <v>44.44444444444444</v>
      </c>
      <c r="AX20" s="30">
        <v>30</v>
      </c>
      <c r="AY20" s="31">
        <v>20</v>
      </c>
      <c r="AZ20" s="32">
        <f t="shared" si="49"/>
        <v>-10</v>
      </c>
      <c r="BA20" s="44">
        <f t="shared" si="44"/>
        <v>66.66666666666667</v>
      </c>
      <c r="BB20" s="30">
        <v>30</v>
      </c>
      <c r="BC20" s="31">
        <v>10</v>
      </c>
      <c r="BD20" s="32">
        <f t="shared" si="18"/>
        <v>-20</v>
      </c>
      <c r="BE20" s="28">
        <f>BC20/BB20%</f>
        <v>33.333333333333336</v>
      </c>
      <c r="BF20" s="39">
        <v>30</v>
      </c>
      <c r="BG20" s="31">
        <v>10</v>
      </c>
      <c r="BH20" s="32">
        <f t="shared" si="20"/>
        <v>-20</v>
      </c>
      <c r="BI20" s="28">
        <f t="shared" si="50"/>
        <v>33.333333333333336</v>
      </c>
      <c r="BJ20" s="45">
        <f t="shared" si="34"/>
        <v>90</v>
      </c>
      <c r="BK20" s="38">
        <f t="shared" si="35"/>
        <v>205</v>
      </c>
      <c r="BL20" s="38">
        <f t="shared" si="36"/>
        <v>115</v>
      </c>
      <c r="BM20" s="43">
        <f>BK20/BJ20%</f>
        <v>227.77777777777777</v>
      </c>
      <c r="BN20" s="30">
        <v>30</v>
      </c>
      <c r="BO20" s="31">
        <v>50</v>
      </c>
      <c r="BP20" s="32">
        <f t="shared" si="22"/>
        <v>20</v>
      </c>
      <c r="BQ20" s="238">
        <f t="shared" si="51"/>
        <v>166.66666666666669</v>
      </c>
      <c r="BR20" s="31">
        <v>30</v>
      </c>
      <c r="BS20" s="31">
        <v>15</v>
      </c>
      <c r="BT20" s="32">
        <f t="shared" si="23"/>
        <v>-15</v>
      </c>
      <c r="BU20" s="32" t="s">
        <v>27</v>
      </c>
      <c r="BV20" s="39">
        <v>30</v>
      </c>
      <c r="BW20" s="31">
        <v>140</v>
      </c>
      <c r="BX20" s="32">
        <f t="shared" si="25"/>
        <v>110</v>
      </c>
      <c r="BY20" s="32">
        <f t="shared" si="26"/>
        <v>466.6666666666667</v>
      </c>
    </row>
    <row r="21" spans="1:77" ht="15.75" customHeight="1" hidden="1">
      <c r="A21" s="253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0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5"/>
        <v>0</v>
      </c>
      <c r="K21" s="468">
        <f t="shared" si="46"/>
        <v>0</v>
      </c>
      <c r="L21" s="468">
        <f t="shared" si="5"/>
        <v>0</v>
      </c>
      <c r="M21" s="469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39"/>
        <v>#DIV/0!</v>
      </c>
      <c r="V21" s="23">
        <f>SUM(V22:V23)</f>
        <v>0</v>
      </c>
      <c r="W21" s="23">
        <f>SUM(W22:W23)</f>
        <v>0</v>
      </c>
      <c r="X21" s="32">
        <f t="shared" si="10"/>
        <v>0</v>
      </c>
      <c r="Y21" s="32" t="e">
        <f t="shared" si="11"/>
        <v>#DIV/0!</v>
      </c>
      <c r="Z21" s="468">
        <f t="shared" si="40"/>
        <v>0</v>
      </c>
      <c r="AA21" s="468">
        <f t="shared" si="28"/>
        <v>0</v>
      </c>
      <c r="AB21" s="468">
        <f t="shared" si="29"/>
        <v>0</v>
      </c>
      <c r="AC21" s="468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2"/>
        <v>0</v>
      </c>
      <c r="AK21" s="7" t="e">
        <f t="shared" si="4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7"/>
        <v>0</v>
      </c>
      <c r="AQ21" s="15">
        <f t="shared" si="32"/>
        <v>0</v>
      </c>
      <c r="AR21" s="15">
        <f t="shared" si="15"/>
        <v>0</v>
      </c>
      <c r="AS21" s="16"/>
      <c r="AT21" s="37">
        <f t="shared" si="52"/>
        <v>0</v>
      </c>
      <c r="AU21" s="26">
        <f>AY21+BC21+BG21</f>
        <v>0</v>
      </c>
      <c r="AV21" s="468">
        <f t="shared" si="43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4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4"/>
        <v>0</v>
      </c>
      <c r="BK21" s="468">
        <f t="shared" si="35"/>
        <v>0</v>
      </c>
      <c r="BL21" s="468">
        <f t="shared" si="36"/>
        <v>0</v>
      </c>
      <c r="BM21" s="469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</row>
    <row r="22" spans="1:77" ht="15.75" customHeight="1" hidden="1">
      <c r="A22" s="252" t="s">
        <v>31</v>
      </c>
      <c r="B22" s="30"/>
      <c r="C22" s="31"/>
      <c r="D22" s="33">
        <f t="shared" si="0"/>
        <v>0</v>
      </c>
      <c r="E22" s="220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5"/>
        <v>0</v>
      </c>
      <c r="K22" s="38">
        <f t="shared" si="46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39"/>
        <v>#DIV/0!</v>
      </c>
      <c r="V22" s="31"/>
      <c r="W22" s="31"/>
      <c r="X22" s="32">
        <f t="shared" si="10"/>
        <v>0</v>
      </c>
      <c r="Y22" s="32" t="e">
        <f t="shared" si="11"/>
        <v>#DIV/0!</v>
      </c>
      <c r="Z22" s="38">
        <f t="shared" si="40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2"/>
        <v>0</v>
      </c>
      <c r="AK22" s="7" t="e">
        <f t="shared" si="4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7"/>
        <v>0</v>
      </c>
      <c r="AQ22" s="41">
        <f t="shared" si="32"/>
        <v>0</v>
      </c>
      <c r="AR22" s="41">
        <f t="shared" si="15"/>
        <v>0</v>
      </c>
      <c r="AS22" s="42"/>
      <c r="AT22" s="37">
        <f t="shared" si="52"/>
        <v>0</v>
      </c>
      <c r="AU22" s="38">
        <f>SUM(AY22+BC22+BG22)</f>
        <v>0</v>
      </c>
      <c r="AV22" s="38">
        <f t="shared" si="43"/>
        <v>0</v>
      </c>
      <c r="AW22" s="43"/>
      <c r="AX22" s="30"/>
      <c r="AY22" s="31"/>
      <c r="AZ22" s="32">
        <f t="shared" si="49"/>
        <v>0</v>
      </c>
      <c r="BA22" s="44" t="e">
        <f t="shared" si="44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254" t="s">
        <v>32</v>
      </c>
      <c r="B23" s="30"/>
      <c r="C23" s="31"/>
      <c r="D23" s="33">
        <f t="shared" si="0"/>
        <v>0</v>
      </c>
      <c r="E23" s="220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5"/>
        <v>0</v>
      </c>
      <c r="K23" s="38">
        <f t="shared" si="46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39"/>
        <v>#DIV/0!</v>
      </c>
      <c r="V23" s="31"/>
      <c r="W23" s="31"/>
      <c r="X23" s="32">
        <f t="shared" si="10"/>
        <v>0</v>
      </c>
      <c r="Y23" s="32" t="e">
        <f t="shared" si="11"/>
        <v>#DIV/0!</v>
      </c>
      <c r="Z23" s="38">
        <f t="shared" si="40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2"/>
        <v>0</v>
      </c>
      <c r="AK23" s="7" t="e">
        <f t="shared" si="4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7"/>
        <v>0</v>
      </c>
      <c r="AQ23" s="41">
        <f t="shared" si="32"/>
        <v>0</v>
      </c>
      <c r="AR23" s="41">
        <f t="shared" si="15"/>
        <v>0</v>
      </c>
      <c r="AS23" s="42"/>
      <c r="AT23" s="37">
        <f t="shared" si="52"/>
        <v>0</v>
      </c>
      <c r="AU23" s="38">
        <f>SUM(AY23+BC23+BG23)</f>
        <v>0</v>
      </c>
      <c r="AV23" s="38">
        <f t="shared" si="43"/>
        <v>0</v>
      </c>
      <c r="AW23" s="43"/>
      <c r="AX23" s="30"/>
      <c r="AY23" s="31"/>
      <c r="AZ23" s="32">
        <f t="shared" si="49"/>
        <v>0</v>
      </c>
      <c r="BA23" s="44" t="e">
        <f t="shared" si="44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253" t="s">
        <v>33</v>
      </c>
      <c r="B24" s="22">
        <f>B25+B27+B28+B29+B30+B26</f>
        <v>27779.799999999996</v>
      </c>
      <c r="C24" s="23">
        <f>C25+C27+C28+C29+C30+C26</f>
        <v>27250.6</v>
      </c>
      <c r="D24" s="8">
        <f t="shared" si="0"/>
        <v>-529.1999999999971</v>
      </c>
      <c r="E24" s="20">
        <f t="shared" si="1"/>
        <v>98.09501868263992</v>
      </c>
      <c r="F24" s="9">
        <f t="shared" si="2"/>
        <v>12751.8</v>
      </c>
      <c r="G24" s="10">
        <f t="shared" si="2"/>
        <v>10594.5</v>
      </c>
      <c r="H24" s="10">
        <f t="shared" si="3"/>
        <v>-2157.2999999999993</v>
      </c>
      <c r="I24" s="11">
        <f>G24/F24%</f>
        <v>83.0823883687009</v>
      </c>
      <c r="J24" s="24">
        <f t="shared" si="45"/>
        <v>6288.1</v>
      </c>
      <c r="K24" s="468">
        <f>SUM(O24+S24+W24)</f>
        <v>5040.800000000001</v>
      </c>
      <c r="L24" s="468">
        <f t="shared" si="5"/>
        <v>-1247.2999999999993</v>
      </c>
      <c r="M24" s="469">
        <f>K24/J24%</f>
        <v>80.16411952736122</v>
      </c>
      <c r="N24" s="25">
        <f>N25+N27+N28+N29+N30</f>
        <v>1810.1</v>
      </c>
      <c r="O24" s="23">
        <f>O25+O27+O28+O29+O30</f>
        <v>1294.6</v>
      </c>
      <c r="P24" s="7">
        <f aca="true" t="shared" si="53" ref="P24:P38">O24-N24</f>
        <v>-515.5</v>
      </c>
      <c r="Q24" s="7">
        <f>O24/N24%</f>
        <v>71.52091044693663</v>
      </c>
      <c r="R24" s="23">
        <f>R25+R27+R28+R29+R30</f>
        <v>1956.5</v>
      </c>
      <c r="S24" s="23">
        <f>S25+S27+S28+S29+S30</f>
        <v>1024.7</v>
      </c>
      <c r="T24" s="7">
        <f t="shared" si="9"/>
        <v>-931.8</v>
      </c>
      <c r="U24" s="7">
        <f t="shared" si="39"/>
        <v>52.37413749041656</v>
      </c>
      <c r="V24" s="23">
        <f>V25+V27+V28+V29+V30</f>
        <v>2521.5</v>
      </c>
      <c r="W24" s="23">
        <f>W25+W27+W28+W29+W30</f>
        <v>2721.5000000000005</v>
      </c>
      <c r="X24" s="7">
        <f t="shared" si="10"/>
        <v>200.00000000000045</v>
      </c>
      <c r="Y24" s="7">
        <f t="shared" si="11"/>
        <v>107.93178663493954</v>
      </c>
      <c r="Z24" s="468">
        <f t="shared" si="40"/>
        <v>6463.7</v>
      </c>
      <c r="AA24" s="468">
        <f t="shared" si="28"/>
        <v>5553.7</v>
      </c>
      <c r="AB24" s="468">
        <f t="shared" si="29"/>
        <v>-910</v>
      </c>
      <c r="AC24" s="468">
        <f>AA24/Z24%</f>
        <v>85.92137630149914</v>
      </c>
      <c r="AD24" s="23">
        <f>AD25+AD27+AD28+AD29+AD30</f>
        <v>1934.5</v>
      </c>
      <c r="AE24" s="23">
        <f>AE25+AE27+AE28+AE29+AE30</f>
        <v>1214.8</v>
      </c>
      <c r="AF24" s="7">
        <f t="shared" si="30"/>
        <v>-719.7</v>
      </c>
      <c r="AG24" s="7">
        <f aca="true" t="shared" si="54" ref="AG24:AG34">AE24/AD24%</f>
        <v>62.796588265701736</v>
      </c>
      <c r="AH24" s="23">
        <f>AH25+AH27+AH28+AH29+AH30</f>
        <v>2134.6</v>
      </c>
      <c r="AI24" s="23">
        <f>AI25+AI27+AI28+AI29+AI30</f>
        <v>1197.8</v>
      </c>
      <c r="AJ24" s="7">
        <f t="shared" si="12"/>
        <v>-936.8</v>
      </c>
      <c r="AK24" s="7">
        <f t="shared" si="42"/>
        <v>56.11355757518973</v>
      </c>
      <c r="AL24" s="23">
        <f>AL25+AL27+AL28+AL29+AL30</f>
        <v>2394.6</v>
      </c>
      <c r="AM24" s="23">
        <f>AM25+AM27+AM28+AM29+AM30</f>
        <v>3141.1</v>
      </c>
      <c r="AN24" s="7">
        <f t="shared" si="13"/>
        <v>746.5</v>
      </c>
      <c r="AO24" s="7">
        <f t="shared" si="14"/>
        <v>131.17430886160528</v>
      </c>
      <c r="AP24" s="14">
        <f t="shared" si="47"/>
        <v>19465.6</v>
      </c>
      <c r="AQ24" s="15">
        <f t="shared" si="47"/>
        <v>17617.9</v>
      </c>
      <c r="AR24" s="15">
        <f t="shared" si="15"/>
        <v>-1847.699999999997</v>
      </c>
      <c r="AS24" s="16">
        <f>AQ24/AP24%</f>
        <v>90.50787029426272</v>
      </c>
      <c r="AT24" s="24">
        <f t="shared" si="52"/>
        <v>6713.799999999999</v>
      </c>
      <c r="AU24" s="468">
        <f>SUM(AY24+BC24+BG24)</f>
        <v>7023.4</v>
      </c>
      <c r="AV24" s="468">
        <f t="shared" si="43"/>
        <v>309.60000000000036</v>
      </c>
      <c r="AW24" s="17">
        <f>AU24/AT24%</f>
        <v>104.61139742023892</v>
      </c>
      <c r="AX24" s="22">
        <f>AX25+AX27+AX28+AX29+AX30</f>
        <v>1864.6</v>
      </c>
      <c r="AY24" s="23">
        <f>AY25+AY27+AY28+AY29+AY30</f>
        <v>1817.5</v>
      </c>
      <c r="AZ24" s="7">
        <f t="shared" si="49"/>
        <v>-47.09999999999991</v>
      </c>
      <c r="BA24" s="19">
        <f t="shared" si="44"/>
        <v>97.47398905931567</v>
      </c>
      <c r="BB24" s="22">
        <f>BB25+BB27+BB28+BB29+BB30</f>
        <v>2064.6</v>
      </c>
      <c r="BC24" s="23">
        <f>BC25+BC27+BC28+BC29+BC30</f>
        <v>2640.8</v>
      </c>
      <c r="BD24" s="7">
        <f>BC24-BB24</f>
        <v>576.2000000000003</v>
      </c>
      <c r="BE24" s="18">
        <f>BC24/BB24%</f>
        <v>127.90855371500533</v>
      </c>
      <c r="BF24" s="25">
        <f>BF25+BF27+BF28+BF29+BF30</f>
        <v>2784.6</v>
      </c>
      <c r="BG24" s="25">
        <f>BG25+BG27+BG28+BG29+BG30</f>
        <v>2565.1</v>
      </c>
      <c r="BH24" s="7">
        <f>BG24-BF24</f>
        <v>-219.5</v>
      </c>
      <c r="BI24" s="18">
        <f>BG24/BF24%</f>
        <v>92.11735976441858</v>
      </c>
      <c r="BJ24" s="26">
        <f t="shared" si="34"/>
        <v>8333.099999999999</v>
      </c>
      <c r="BK24" s="468">
        <f t="shared" si="35"/>
        <v>9632.6</v>
      </c>
      <c r="BL24" s="468">
        <f t="shared" si="36"/>
        <v>1299.5000000000018</v>
      </c>
      <c r="BM24" s="469">
        <f>BK24/BJ24%</f>
        <v>115.59443664422606</v>
      </c>
      <c r="BN24" s="25">
        <f>BN25+BN27+BN28+BN29+BN30</f>
        <v>1973.1999999999998</v>
      </c>
      <c r="BO24" s="25">
        <f>BO25+BO27+BO28+BO29+BO30+BO26</f>
        <v>1992.2</v>
      </c>
      <c r="BP24" s="7">
        <f>BO24-BN24</f>
        <v>19.000000000000227</v>
      </c>
      <c r="BQ24" s="19">
        <f>BO24/BN24%</f>
        <v>100.96290289884452</v>
      </c>
      <c r="BR24" s="23">
        <f>BR25+BR27+BR28+BR29+BR30+BR26</f>
        <v>2545.9999999999995</v>
      </c>
      <c r="BS24" s="23">
        <f>BS25+BS27+BS28+BS29+BS30+BS26</f>
        <v>1839.1</v>
      </c>
      <c r="BT24" s="7">
        <f>BS24-BR24</f>
        <v>-706.8999999999996</v>
      </c>
      <c r="BU24" s="7">
        <f>BS24/BR24%</f>
        <v>72.23487824037707</v>
      </c>
      <c r="BV24" s="25">
        <f>BV25+BV27+BV28+BV29+BV30</f>
        <v>3813.9</v>
      </c>
      <c r="BW24" s="25">
        <f>BW25+BW27+BW28+BW29+BW30</f>
        <v>5801.3</v>
      </c>
      <c r="BX24" s="7">
        <f>BW24-BV24</f>
        <v>1987.4</v>
      </c>
      <c r="BY24" s="7">
        <f>BW24/BV24%</f>
        <v>152.10938933899683</v>
      </c>
    </row>
    <row r="25" spans="1:77" ht="15.75" customHeight="1" hidden="1">
      <c r="A25" s="255" t="s">
        <v>34</v>
      </c>
      <c r="B25" s="52"/>
      <c r="C25" s="53"/>
      <c r="D25" s="33">
        <f t="shared" si="0"/>
        <v>0</v>
      </c>
      <c r="E25" s="220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5"/>
        <v>0</v>
      </c>
      <c r="K25" s="38">
        <f t="shared" si="46"/>
        <v>0</v>
      </c>
      <c r="L25" s="38">
        <f t="shared" si="5"/>
        <v>0</v>
      </c>
      <c r="M25" s="43"/>
      <c r="N25" s="54"/>
      <c r="O25" s="53"/>
      <c r="P25" s="7">
        <f t="shared" si="53"/>
        <v>0</v>
      </c>
      <c r="Q25" s="7"/>
      <c r="R25" s="53"/>
      <c r="S25" s="53"/>
      <c r="T25" s="32">
        <f t="shared" si="9"/>
        <v>0</v>
      </c>
      <c r="U25" s="7" t="e">
        <f t="shared" si="39"/>
        <v>#DIV/0!</v>
      </c>
      <c r="V25" s="53"/>
      <c r="W25" s="53"/>
      <c r="X25" s="32">
        <f t="shared" si="10"/>
        <v>0</v>
      </c>
      <c r="Y25" s="32" t="e">
        <f t="shared" si="11"/>
        <v>#DIV/0!</v>
      </c>
      <c r="Z25" s="38">
        <f t="shared" si="40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4"/>
        <v>#DIV/0!</v>
      </c>
      <c r="AH25" s="53"/>
      <c r="AI25" s="53"/>
      <c r="AJ25" s="7">
        <f t="shared" si="12"/>
        <v>0</v>
      </c>
      <c r="AK25" s="7" t="e">
        <f t="shared" si="4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7"/>
        <v>0</v>
      </c>
      <c r="AQ25" s="41">
        <f t="shared" si="47"/>
        <v>0</v>
      </c>
      <c r="AR25" s="41">
        <f t="shared" si="15"/>
        <v>0</v>
      </c>
      <c r="AS25" s="42"/>
      <c r="AT25" s="37">
        <f t="shared" si="52"/>
        <v>0</v>
      </c>
      <c r="AU25" s="38">
        <f>SUM(AY25+BC25+BG25)</f>
        <v>0</v>
      </c>
      <c r="AV25" s="38">
        <f t="shared" si="43"/>
        <v>0</v>
      </c>
      <c r="AW25" s="43"/>
      <c r="AX25" s="52"/>
      <c r="AY25" s="53"/>
      <c r="AZ25" s="32">
        <f t="shared" si="49"/>
        <v>0</v>
      </c>
      <c r="BA25" s="44" t="e">
        <f t="shared" si="44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</row>
    <row r="26" spans="1:77" ht="37.5" customHeight="1">
      <c r="A26" s="255" t="s">
        <v>115</v>
      </c>
      <c r="B26" s="30">
        <f aca="true" t="shared" si="55" ref="B26:C30">J26+Z26+AT26+BJ26</f>
        <v>0.3000000000000016</v>
      </c>
      <c r="C26" s="31">
        <f t="shared" si="55"/>
        <v>0.30000000000000004</v>
      </c>
      <c r="D26" s="33"/>
      <c r="E26" s="220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40">
        <f t="shared" si="47"/>
        <v>0</v>
      </c>
      <c r="AQ26" s="41"/>
      <c r="AR26" s="41"/>
      <c r="AS26" s="42"/>
      <c r="AT26" s="37">
        <f t="shared" si="52"/>
        <v>0</v>
      </c>
      <c r="AU26" s="38"/>
      <c r="AV26" s="38"/>
      <c r="AW26" s="43"/>
      <c r="AX26" s="52"/>
      <c r="AY26" s="53"/>
      <c r="AZ26" s="32">
        <f t="shared" si="49"/>
        <v>0</v>
      </c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0.3000000000000016</v>
      </c>
      <c r="BK26" s="38">
        <f t="shared" si="35"/>
        <v>0.30000000000000004</v>
      </c>
      <c r="BL26" s="38"/>
      <c r="BM26" s="43"/>
      <c r="BN26" s="364">
        <v>-16.1</v>
      </c>
      <c r="BO26" s="53">
        <v>0.2</v>
      </c>
      <c r="BP26" s="32"/>
      <c r="BQ26" s="44"/>
      <c r="BR26" s="470">
        <f>16.1+3.1</f>
        <v>19.200000000000003</v>
      </c>
      <c r="BS26" s="53"/>
      <c r="BT26" s="32">
        <f>BS26-BR26</f>
        <v>-19.200000000000003</v>
      </c>
      <c r="BU26" s="32">
        <f>BS26/BR26%</f>
        <v>0</v>
      </c>
      <c r="BV26" s="54">
        <v>-2.8</v>
      </c>
      <c r="BW26" s="53">
        <v>0.1</v>
      </c>
      <c r="BX26" s="32"/>
      <c r="BY26" s="7"/>
    </row>
    <row r="27" spans="1:77" s="56" customFormat="1" ht="23.25" customHeight="1">
      <c r="A27" s="255" t="s">
        <v>35</v>
      </c>
      <c r="B27" s="30">
        <f t="shared" si="55"/>
        <v>19936.399999999998</v>
      </c>
      <c r="C27" s="31">
        <f t="shared" si="55"/>
        <v>20774.1</v>
      </c>
      <c r="D27" s="55">
        <f t="shared" si="0"/>
        <v>837.7000000000007</v>
      </c>
      <c r="E27" s="220">
        <f t="shared" si="1"/>
        <v>104.2018619209085</v>
      </c>
      <c r="F27" s="34">
        <f t="shared" si="2"/>
        <v>8878.199999999999</v>
      </c>
      <c r="G27" s="35">
        <f t="shared" si="2"/>
        <v>7536.900000000001</v>
      </c>
      <c r="H27" s="35">
        <f t="shared" si="3"/>
        <v>-1341.2999999999984</v>
      </c>
      <c r="I27" s="36">
        <f aca="true" t="shared" si="56" ref="I27:I34">G27/F27%</f>
        <v>84.8922078799757</v>
      </c>
      <c r="J27" s="37">
        <f t="shared" si="45"/>
        <v>4293.9</v>
      </c>
      <c r="K27" s="38">
        <f t="shared" si="46"/>
        <v>3533.1000000000004</v>
      </c>
      <c r="L27" s="38">
        <f t="shared" si="5"/>
        <v>-760.7999999999993</v>
      </c>
      <c r="M27" s="43">
        <f>K27/J27%</f>
        <v>82.28184168238667</v>
      </c>
      <c r="N27" s="39">
        <v>1183.7</v>
      </c>
      <c r="O27" s="31">
        <v>931.1</v>
      </c>
      <c r="P27" s="32">
        <f t="shared" si="53"/>
        <v>-252.60000000000002</v>
      </c>
      <c r="Q27" s="32">
        <f>O27/N27%</f>
        <v>78.66013347976684</v>
      </c>
      <c r="R27" s="31">
        <v>1330.1</v>
      </c>
      <c r="S27" s="31">
        <v>429.8</v>
      </c>
      <c r="T27" s="32">
        <f t="shared" si="9"/>
        <v>-900.3</v>
      </c>
      <c r="U27" s="7">
        <f t="shared" si="39"/>
        <v>32.31335989775205</v>
      </c>
      <c r="V27" s="31">
        <v>1780.1</v>
      </c>
      <c r="W27" s="31">
        <f>2165.8+6.4</f>
        <v>2172.2000000000003</v>
      </c>
      <c r="X27" s="32">
        <f t="shared" si="10"/>
        <v>392.10000000000036</v>
      </c>
      <c r="Y27" s="32">
        <f t="shared" si="11"/>
        <v>122.02685242402114</v>
      </c>
      <c r="Z27" s="38">
        <f t="shared" si="40"/>
        <v>4584.299999999999</v>
      </c>
      <c r="AA27" s="38">
        <f t="shared" si="28"/>
        <v>4003.8</v>
      </c>
      <c r="AB27" s="38">
        <f t="shared" si="29"/>
        <v>-580.4999999999991</v>
      </c>
      <c r="AC27" s="38">
        <f>AA27/Z27%</f>
        <v>87.3372161507755</v>
      </c>
      <c r="AD27" s="31">
        <v>1308.1</v>
      </c>
      <c r="AE27" s="31">
        <v>705.5</v>
      </c>
      <c r="AF27" s="32">
        <f t="shared" si="30"/>
        <v>-602.5999999999999</v>
      </c>
      <c r="AG27" s="32">
        <f t="shared" si="54"/>
        <v>53.93318553627399</v>
      </c>
      <c r="AH27" s="31">
        <v>1508.1</v>
      </c>
      <c r="AI27" s="31">
        <v>656.3</v>
      </c>
      <c r="AJ27" s="32">
        <f t="shared" si="12"/>
        <v>-851.8</v>
      </c>
      <c r="AK27" s="32">
        <f t="shared" si="42"/>
        <v>43.518334327962336</v>
      </c>
      <c r="AL27" s="31">
        <v>1768.1</v>
      </c>
      <c r="AM27" s="31">
        <v>2642</v>
      </c>
      <c r="AN27" s="32">
        <f t="shared" si="13"/>
        <v>873.9000000000001</v>
      </c>
      <c r="AO27" s="32">
        <f t="shared" si="14"/>
        <v>149.425937446977</v>
      </c>
      <c r="AP27" s="40">
        <f t="shared" si="47"/>
        <v>13712.499999999998</v>
      </c>
      <c r="AQ27" s="41">
        <f t="shared" si="47"/>
        <v>12856</v>
      </c>
      <c r="AR27" s="41">
        <f t="shared" si="15"/>
        <v>-856.4999999999982</v>
      </c>
      <c r="AS27" s="42">
        <f aca="true" t="shared" si="57" ref="AS27:AS34">AQ27/AP27%</f>
        <v>93.75387420237011</v>
      </c>
      <c r="AT27" s="37">
        <f t="shared" si="52"/>
        <v>4834.299999999999</v>
      </c>
      <c r="AU27" s="38">
        <f>SUM(AY27+BC27+BG27)</f>
        <v>5319.1</v>
      </c>
      <c r="AV27" s="38">
        <f t="shared" si="43"/>
        <v>484.8000000000011</v>
      </c>
      <c r="AW27" s="43">
        <f>AU27/AT27%</f>
        <v>110.02833915975428</v>
      </c>
      <c r="AX27" s="30">
        <v>1238.1</v>
      </c>
      <c r="AY27" s="31">
        <v>1222.3</v>
      </c>
      <c r="AZ27" s="32">
        <f t="shared" si="49"/>
        <v>-15.799999999999955</v>
      </c>
      <c r="BA27" s="44">
        <f t="shared" si="44"/>
        <v>98.72385106211131</v>
      </c>
      <c r="BB27" s="30">
        <v>1438.1</v>
      </c>
      <c r="BC27" s="31">
        <v>2081.8</v>
      </c>
      <c r="BD27" s="32">
        <f>BC27-BB27</f>
        <v>643.7000000000003</v>
      </c>
      <c r="BE27" s="28">
        <f>BC27/BB27%</f>
        <v>144.76044781308673</v>
      </c>
      <c r="BF27" s="39">
        <v>2158.1</v>
      </c>
      <c r="BG27" s="31">
        <v>2015</v>
      </c>
      <c r="BH27" s="32">
        <f>BG27-BF27</f>
        <v>-143.0999999999999</v>
      </c>
      <c r="BI27" s="28">
        <f>BG27/BF27%</f>
        <v>93.36916732310829</v>
      </c>
      <c r="BJ27" s="45">
        <f t="shared" si="34"/>
        <v>6223.9</v>
      </c>
      <c r="BK27" s="38">
        <f t="shared" si="35"/>
        <v>7918.1</v>
      </c>
      <c r="BL27" s="38">
        <f t="shared" si="36"/>
        <v>1694.2000000000007</v>
      </c>
      <c r="BM27" s="43">
        <f>BK27/BJ27%</f>
        <v>127.22087437137488</v>
      </c>
      <c r="BN27" s="30">
        <v>1346.7</v>
      </c>
      <c r="BO27" s="31">
        <v>1480.3</v>
      </c>
      <c r="BP27" s="32">
        <f aca="true" t="shared" si="58" ref="BP27:BP39">BO27-BN27</f>
        <v>133.5999999999999</v>
      </c>
      <c r="BQ27" s="44">
        <f>BO27/BN27%</f>
        <v>109.9205465211257</v>
      </c>
      <c r="BR27" s="31">
        <v>1900.1</v>
      </c>
      <c r="BS27" s="31">
        <v>1545</v>
      </c>
      <c r="BT27" s="32">
        <f>BS27-BR27</f>
        <v>-355.0999999999999</v>
      </c>
      <c r="BU27" s="32">
        <f>BS27/BR27%</f>
        <v>81.31150992053051</v>
      </c>
      <c r="BV27" s="39">
        <v>2977.1</v>
      </c>
      <c r="BW27" s="31">
        <v>4892.8</v>
      </c>
      <c r="BX27" s="32">
        <f aca="true" t="shared" si="59" ref="BX27:BX39">BW27-BV27</f>
        <v>1915.7000000000003</v>
      </c>
      <c r="BY27" s="7">
        <f>BW27/BV27%</f>
        <v>164.3478552954217</v>
      </c>
    </row>
    <row r="28" spans="1:77" s="1" customFormat="1" ht="22.5" customHeight="1">
      <c r="A28" s="252" t="s">
        <v>36</v>
      </c>
      <c r="B28" s="30">
        <f t="shared" si="55"/>
        <v>7283.299999999999</v>
      </c>
      <c r="C28" s="31">
        <f t="shared" si="55"/>
        <v>5909.4</v>
      </c>
      <c r="D28" s="32">
        <f t="shared" si="0"/>
        <v>-1373.8999999999996</v>
      </c>
      <c r="E28" s="220">
        <f t="shared" si="1"/>
        <v>81.13629810662749</v>
      </c>
      <c r="F28" s="34">
        <f t="shared" si="2"/>
        <v>3641.3999999999996</v>
      </c>
      <c r="G28" s="35">
        <f t="shared" si="2"/>
        <v>2825.2</v>
      </c>
      <c r="H28" s="35">
        <f t="shared" si="3"/>
        <v>-816.1999999999998</v>
      </c>
      <c r="I28" s="36">
        <f t="shared" si="56"/>
        <v>77.58554402153018</v>
      </c>
      <c r="J28" s="37">
        <f t="shared" si="45"/>
        <v>1820.6999999999998</v>
      </c>
      <c r="K28" s="38">
        <f t="shared" si="46"/>
        <v>1368.3999999999999</v>
      </c>
      <c r="L28" s="38">
        <f t="shared" si="5"/>
        <v>-452.29999999999995</v>
      </c>
      <c r="M28" s="43">
        <f>K28/J28%</f>
        <v>75.15790629977482</v>
      </c>
      <c r="N28" s="57">
        <v>606.9</v>
      </c>
      <c r="O28" s="58">
        <v>342.7</v>
      </c>
      <c r="P28" s="32">
        <f t="shared" si="53"/>
        <v>-264.2</v>
      </c>
      <c r="Q28" s="32">
        <f>O28/N28%</f>
        <v>56.46729279947273</v>
      </c>
      <c r="R28" s="58">
        <v>606.9</v>
      </c>
      <c r="S28" s="58">
        <v>538.4</v>
      </c>
      <c r="T28" s="32">
        <f t="shared" si="9"/>
        <v>-68.5</v>
      </c>
      <c r="U28" s="7">
        <f t="shared" si="39"/>
        <v>88.71313231174823</v>
      </c>
      <c r="V28" s="58">
        <v>606.9</v>
      </c>
      <c r="W28" s="58">
        <v>487.3</v>
      </c>
      <c r="X28" s="32">
        <f t="shared" si="10"/>
        <v>-119.59999999999997</v>
      </c>
      <c r="Y28" s="32">
        <f t="shared" si="11"/>
        <v>80.29329378810348</v>
      </c>
      <c r="Z28" s="38">
        <f t="shared" si="40"/>
        <v>1820.6999999999998</v>
      </c>
      <c r="AA28" s="38">
        <f t="shared" si="28"/>
        <v>1456.8</v>
      </c>
      <c r="AB28" s="38">
        <f t="shared" si="29"/>
        <v>-363.89999999999986</v>
      </c>
      <c r="AC28" s="38">
        <f>AA28/Z28%</f>
        <v>80.01318174328556</v>
      </c>
      <c r="AD28" s="58">
        <v>606.9</v>
      </c>
      <c r="AE28" s="58">
        <v>488.3</v>
      </c>
      <c r="AF28" s="32">
        <f t="shared" si="30"/>
        <v>-118.59999999999997</v>
      </c>
      <c r="AG28" s="32">
        <f t="shared" si="54"/>
        <v>80.45806557917285</v>
      </c>
      <c r="AH28" s="58">
        <v>606.9</v>
      </c>
      <c r="AI28" s="58">
        <v>488.8</v>
      </c>
      <c r="AJ28" s="32">
        <f t="shared" si="12"/>
        <v>-118.09999999999997</v>
      </c>
      <c r="AK28" s="32">
        <f t="shared" si="42"/>
        <v>80.54045147470754</v>
      </c>
      <c r="AL28" s="58">
        <v>606.9</v>
      </c>
      <c r="AM28" s="58">
        <v>479.7</v>
      </c>
      <c r="AN28" s="32">
        <f t="shared" si="13"/>
        <v>-127.19999999999999</v>
      </c>
      <c r="AO28" s="32">
        <f t="shared" si="14"/>
        <v>79.04102817597627</v>
      </c>
      <c r="AP28" s="40">
        <f t="shared" si="47"/>
        <v>5462.099999999999</v>
      </c>
      <c r="AQ28" s="41">
        <f t="shared" si="47"/>
        <v>4363.7</v>
      </c>
      <c r="AR28" s="41">
        <f t="shared" si="15"/>
        <v>-1098.3999999999996</v>
      </c>
      <c r="AS28" s="42">
        <f t="shared" si="57"/>
        <v>79.8905182988228</v>
      </c>
      <c r="AT28" s="37">
        <f t="shared" si="52"/>
        <v>1820.6999999999998</v>
      </c>
      <c r="AU28" s="38">
        <f>SUM(AY28+BC28+BG28)</f>
        <v>1538.5</v>
      </c>
      <c r="AV28" s="38">
        <f t="shared" si="43"/>
        <v>-282.1999999999998</v>
      </c>
      <c r="AW28" s="43">
        <f>AU28/AT28%</f>
        <v>84.50046685340804</v>
      </c>
      <c r="AX28" s="59">
        <v>606.9</v>
      </c>
      <c r="AY28" s="58">
        <v>549.3</v>
      </c>
      <c r="AZ28" s="32">
        <f t="shared" si="49"/>
        <v>-57.60000000000002</v>
      </c>
      <c r="BA28" s="44">
        <f t="shared" si="44"/>
        <v>90.50914483440434</v>
      </c>
      <c r="BB28" s="59">
        <v>606.9</v>
      </c>
      <c r="BC28" s="58">
        <v>494.2</v>
      </c>
      <c r="BD28" s="32">
        <f>BC28-BB28</f>
        <v>-112.69999999999999</v>
      </c>
      <c r="BE28" s="28">
        <f>BC28/BB28%</f>
        <v>81.43021914648212</v>
      </c>
      <c r="BF28" s="57">
        <v>606.9</v>
      </c>
      <c r="BG28" s="58">
        <v>495</v>
      </c>
      <c r="BH28" s="32">
        <f>BG28-BF28</f>
        <v>-111.89999999999998</v>
      </c>
      <c r="BI28" s="28">
        <f>BG28/BF28%</f>
        <v>81.56203657933762</v>
      </c>
      <c r="BJ28" s="45">
        <f t="shared" si="34"/>
        <v>1821.2</v>
      </c>
      <c r="BK28" s="38">
        <f t="shared" si="35"/>
        <v>1545.7</v>
      </c>
      <c r="BL28" s="38">
        <f t="shared" si="36"/>
        <v>-275.5</v>
      </c>
      <c r="BM28" s="43">
        <f>BK28/BJ28%</f>
        <v>84.87261146496816</v>
      </c>
      <c r="BN28" s="59">
        <v>606.9</v>
      </c>
      <c r="BO28" s="58">
        <v>487.1</v>
      </c>
      <c r="BP28" s="32">
        <f t="shared" si="58"/>
        <v>-119.79999999999995</v>
      </c>
      <c r="BQ28" s="44">
        <f>BO28/BN28%</f>
        <v>80.26033942988961</v>
      </c>
      <c r="BR28" s="58">
        <v>607.1</v>
      </c>
      <c r="BS28" s="58">
        <v>200.1</v>
      </c>
      <c r="BT28" s="32">
        <f>BS28-BR28</f>
        <v>-407</v>
      </c>
      <c r="BU28" s="32">
        <f>BS28/BR28%</f>
        <v>32.95997364519848</v>
      </c>
      <c r="BV28" s="57">
        <v>607.2</v>
      </c>
      <c r="BW28" s="58">
        <v>858.5</v>
      </c>
      <c r="BX28" s="32">
        <f t="shared" si="59"/>
        <v>251.29999999999995</v>
      </c>
      <c r="BY28" s="32">
        <f>BW28/BV28%</f>
        <v>141.3866930171278</v>
      </c>
    </row>
    <row r="29" spans="1:77" ht="38.25" customHeight="1">
      <c r="A29" s="252" t="s">
        <v>37</v>
      </c>
      <c r="B29" s="30">
        <f t="shared" si="55"/>
        <v>115</v>
      </c>
      <c r="C29" s="31">
        <f t="shared" si="55"/>
        <v>80.6</v>
      </c>
      <c r="D29" s="33">
        <f t="shared" si="0"/>
        <v>-34.400000000000006</v>
      </c>
      <c r="E29" s="220">
        <f t="shared" si="1"/>
        <v>70.08695652173913</v>
      </c>
      <c r="F29" s="34">
        <f t="shared" si="2"/>
        <v>115</v>
      </c>
      <c r="G29" s="35">
        <f t="shared" si="2"/>
        <v>51.6</v>
      </c>
      <c r="H29" s="35">
        <f t="shared" si="3"/>
        <v>-63.4</v>
      </c>
      <c r="I29" s="36">
        <f>G29/F29%</f>
        <v>44.86956521739131</v>
      </c>
      <c r="J29" s="37">
        <f t="shared" si="45"/>
        <v>115</v>
      </c>
      <c r="K29" s="38">
        <f t="shared" si="46"/>
        <v>51.6</v>
      </c>
      <c r="L29" s="38">
        <f t="shared" si="5"/>
        <v>-63.4</v>
      </c>
      <c r="M29" s="43">
        <f>K29/J29%</f>
        <v>44.86956521739131</v>
      </c>
      <c r="N29" s="57"/>
      <c r="O29" s="58"/>
      <c r="P29" s="32">
        <f t="shared" si="53"/>
        <v>0</v>
      </c>
      <c r="Q29" s="32"/>
      <c r="R29" s="58"/>
      <c r="S29" s="58">
        <v>42.5</v>
      </c>
      <c r="T29" s="32">
        <f t="shared" si="9"/>
        <v>42.5</v>
      </c>
      <c r="U29" s="7"/>
      <c r="V29" s="58">
        <v>115</v>
      </c>
      <c r="W29" s="58">
        <v>9.1</v>
      </c>
      <c r="X29" s="32">
        <f t="shared" si="10"/>
        <v>-105.9</v>
      </c>
      <c r="Y29" s="32">
        <f t="shared" si="11"/>
        <v>7.91304347826087</v>
      </c>
      <c r="Z29" s="38">
        <f t="shared" si="40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2"/>
        <v>0</v>
      </c>
      <c r="AK29" s="32"/>
      <c r="AL29" s="58"/>
      <c r="AM29" s="58"/>
      <c r="AN29" s="32">
        <f t="shared" si="13"/>
        <v>0</v>
      </c>
      <c r="AO29" s="32"/>
      <c r="AP29" s="40">
        <f t="shared" si="47"/>
        <v>115</v>
      </c>
      <c r="AQ29" s="41">
        <f t="shared" si="47"/>
        <v>80.6</v>
      </c>
      <c r="AR29" s="41">
        <f t="shared" si="15"/>
        <v>-34.400000000000006</v>
      </c>
      <c r="AS29" s="42">
        <f t="shared" si="57"/>
        <v>70.08695652173913</v>
      </c>
      <c r="AT29" s="37">
        <f t="shared" si="52"/>
        <v>0</v>
      </c>
      <c r="AU29" s="38">
        <f>SUM(AY29+BC29+BG29)</f>
        <v>29</v>
      </c>
      <c r="AV29" s="38">
        <f t="shared" si="43"/>
        <v>29</v>
      </c>
      <c r="AW29" s="43"/>
      <c r="AX29" s="59"/>
      <c r="AY29" s="58"/>
      <c r="AZ29" s="32">
        <f t="shared" si="49"/>
        <v>0</v>
      </c>
      <c r="BA29" s="44"/>
      <c r="BB29" s="59"/>
      <c r="BC29" s="58">
        <v>6.3</v>
      </c>
      <c r="BD29" s="32">
        <f>BC29-BB29</f>
        <v>6.3</v>
      </c>
      <c r="BE29" s="28"/>
      <c r="BF29" s="57"/>
      <c r="BG29" s="58">
        <v>22.7</v>
      </c>
      <c r="BH29" s="32">
        <f>BG29-BF29</f>
        <v>22.7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32">
        <f t="shared" si="58"/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 t="shared" si="59"/>
        <v>0</v>
      </c>
      <c r="BY29" s="32"/>
    </row>
    <row r="30" spans="1:77" ht="57" customHeight="1">
      <c r="A30" s="256" t="s">
        <v>116</v>
      </c>
      <c r="B30" s="30">
        <f t="shared" si="55"/>
        <v>444.8</v>
      </c>
      <c r="C30" s="31">
        <f t="shared" si="55"/>
        <v>486.20000000000005</v>
      </c>
      <c r="D30" s="33">
        <f t="shared" si="0"/>
        <v>41.400000000000034</v>
      </c>
      <c r="E30" s="220">
        <f t="shared" si="1"/>
        <v>109.30755395683454</v>
      </c>
      <c r="F30" s="34">
        <f t="shared" si="2"/>
        <v>117.2</v>
      </c>
      <c r="G30" s="35">
        <f t="shared" si="2"/>
        <v>180.79999999999998</v>
      </c>
      <c r="H30" s="35">
        <f t="shared" si="3"/>
        <v>63.59999999999998</v>
      </c>
      <c r="I30" s="36">
        <f t="shared" si="56"/>
        <v>154.26621160409556</v>
      </c>
      <c r="J30" s="257">
        <f t="shared" si="45"/>
        <v>58.5</v>
      </c>
      <c r="K30" s="38">
        <f>O30+S30+W30</f>
        <v>87.69999999999999</v>
      </c>
      <c r="L30" s="38">
        <f t="shared" si="5"/>
        <v>29.19999999999999</v>
      </c>
      <c r="M30" s="43">
        <f>K30/J30%</f>
        <v>149.9145299145299</v>
      </c>
      <c r="N30" s="57">
        <v>19.5</v>
      </c>
      <c r="O30" s="58">
        <v>20.8</v>
      </c>
      <c r="P30" s="32">
        <f t="shared" si="53"/>
        <v>1.3000000000000007</v>
      </c>
      <c r="Q30" s="32">
        <f>O30/N30%</f>
        <v>106.66666666666667</v>
      </c>
      <c r="R30" s="58">
        <v>19.5</v>
      </c>
      <c r="S30" s="58">
        <v>14</v>
      </c>
      <c r="T30" s="32">
        <f>S30-R30</f>
        <v>-5.5</v>
      </c>
      <c r="U30" s="7">
        <f t="shared" si="39"/>
        <v>71.7948717948718</v>
      </c>
      <c r="V30" s="58">
        <v>19.5</v>
      </c>
      <c r="W30" s="58">
        <v>52.9</v>
      </c>
      <c r="X30" s="32">
        <f t="shared" si="10"/>
        <v>33.4</v>
      </c>
      <c r="Y30" s="32">
        <f t="shared" si="11"/>
        <v>271.28205128205127</v>
      </c>
      <c r="Z30" s="38">
        <f t="shared" si="40"/>
        <v>58.7</v>
      </c>
      <c r="AA30" s="38">
        <f t="shared" si="28"/>
        <v>93.1</v>
      </c>
      <c r="AB30" s="38">
        <f t="shared" si="29"/>
        <v>34.39999999999999</v>
      </c>
      <c r="AC30" s="38">
        <f aca="true" t="shared" si="60" ref="AC30:AC37">AA30/Z30%</f>
        <v>158.60306643952296</v>
      </c>
      <c r="AD30" s="58">
        <v>19.5</v>
      </c>
      <c r="AE30" s="58">
        <v>21</v>
      </c>
      <c r="AF30" s="32">
        <f t="shared" si="30"/>
        <v>1.5</v>
      </c>
      <c r="AG30" s="32">
        <f t="shared" si="54"/>
        <v>107.6923076923077</v>
      </c>
      <c r="AH30" s="58">
        <v>19.6</v>
      </c>
      <c r="AI30" s="58">
        <v>52.7</v>
      </c>
      <c r="AJ30" s="32">
        <f t="shared" si="12"/>
        <v>33.1</v>
      </c>
      <c r="AK30" s="32">
        <f t="shared" si="42"/>
        <v>268.8775510204082</v>
      </c>
      <c r="AL30" s="58">
        <v>19.6</v>
      </c>
      <c r="AM30" s="58">
        <v>19.4</v>
      </c>
      <c r="AN30" s="32">
        <f t="shared" si="13"/>
        <v>-0.20000000000000284</v>
      </c>
      <c r="AO30" s="32">
        <f t="shared" si="14"/>
        <v>98.97959183673468</v>
      </c>
      <c r="AP30" s="40">
        <f t="shared" si="47"/>
        <v>176</v>
      </c>
      <c r="AQ30" s="41"/>
      <c r="AR30" s="41"/>
      <c r="AS30" s="42"/>
      <c r="AT30" s="257">
        <f t="shared" si="52"/>
        <v>58.800000000000004</v>
      </c>
      <c r="AU30" s="38">
        <f>AY30+BC30+BG30</f>
        <v>136.8</v>
      </c>
      <c r="AV30" s="38">
        <f t="shared" si="43"/>
        <v>78</v>
      </c>
      <c r="AW30" s="43" t="s">
        <v>27</v>
      </c>
      <c r="AX30" s="59">
        <v>19.6</v>
      </c>
      <c r="AY30" s="58">
        <v>45.9</v>
      </c>
      <c r="AZ30" s="32">
        <f>AY30-AX30</f>
        <v>26.299999999999997</v>
      </c>
      <c r="BA30" s="44">
        <f>AY30/AX30%</f>
        <v>234.18367346938774</v>
      </c>
      <c r="BB30" s="59">
        <v>19.6</v>
      </c>
      <c r="BC30" s="58">
        <v>58.5</v>
      </c>
      <c r="BD30" s="32">
        <f>BC30-BB30</f>
        <v>38.9</v>
      </c>
      <c r="BE30" s="28" t="s">
        <v>27</v>
      </c>
      <c r="BF30" s="57">
        <v>19.6</v>
      </c>
      <c r="BG30" s="57">
        <v>32.4</v>
      </c>
      <c r="BH30" s="32">
        <f>BG30-BF30</f>
        <v>12.799999999999997</v>
      </c>
      <c r="BI30" s="28">
        <f>BG30/BF30%</f>
        <v>165.30612244897958</v>
      </c>
      <c r="BJ30" s="45">
        <f t="shared" si="34"/>
        <v>268.8</v>
      </c>
      <c r="BK30" s="38">
        <f t="shared" si="35"/>
        <v>168.6</v>
      </c>
      <c r="BL30" s="38">
        <f t="shared" si="36"/>
        <v>-100.20000000000002</v>
      </c>
      <c r="BM30" s="43" t="s">
        <v>27</v>
      </c>
      <c r="BN30" s="59">
        <v>19.6</v>
      </c>
      <c r="BO30" s="57">
        <v>24.6</v>
      </c>
      <c r="BP30" s="32">
        <f t="shared" si="58"/>
        <v>5</v>
      </c>
      <c r="BQ30" s="44">
        <f>BO30/BN30%</f>
        <v>125.51020408163265</v>
      </c>
      <c r="BR30" s="58">
        <v>19.6</v>
      </c>
      <c r="BS30" s="58">
        <v>94</v>
      </c>
      <c r="BT30" s="32">
        <f>BS30-BR30</f>
        <v>74.4</v>
      </c>
      <c r="BU30" s="32">
        <f>BS30/BR30%</f>
        <v>479.59183673469386</v>
      </c>
      <c r="BV30" s="57">
        <f>19.6+210</f>
        <v>229.6</v>
      </c>
      <c r="BW30" s="58">
        <v>50</v>
      </c>
      <c r="BX30" s="32">
        <f t="shared" si="59"/>
        <v>-179.6</v>
      </c>
      <c r="BY30" s="32">
        <f>BW30/BV30%</f>
        <v>21.77700348432056</v>
      </c>
    </row>
    <row r="31" spans="1:77" s="21" customFormat="1" ht="38.25" customHeight="1">
      <c r="A31" s="51" t="s">
        <v>38</v>
      </c>
      <c r="B31" s="60">
        <f>B32</f>
        <v>2033.4</v>
      </c>
      <c r="C31" s="61">
        <f>C32</f>
        <v>1947.3000000000002</v>
      </c>
      <c r="D31" s="8">
        <f t="shared" si="0"/>
        <v>-86.09999999999991</v>
      </c>
      <c r="E31" s="20">
        <f t="shared" si="1"/>
        <v>95.7657125995869</v>
      </c>
      <c r="F31" s="9">
        <f t="shared" si="2"/>
        <v>1003.7</v>
      </c>
      <c r="G31" s="10">
        <f t="shared" si="2"/>
        <v>1342</v>
      </c>
      <c r="H31" s="10">
        <f t="shared" si="3"/>
        <v>338.29999999999995</v>
      </c>
      <c r="I31" s="11">
        <f t="shared" si="56"/>
        <v>133.70529042542591</v>
      </c>
      <c r="J31" s="24">
        <f t="shared" si="45"/>
        <v>539.8</v>
      </c>
      <c r="K31" s="468">
        <f t="shared" si="46"/>
        <v>821.5000000000001</v>
      </c>
      <c r="L31" s="468">
        <f t="shared" si="5"/>
        <v>281.70000000000016</v>
      </c>
      <c r="M31" s="335" t="s">
        <v>117</v>
      </c>
      <c r="N31" s="62">
        <f>N32</f>
        <v>33.9</v>
      </c>
      <c r="O31" s="61">
        <f>O32</f>
        <v>26.7</v>
      </c>
      <c r="P31" s="7">
        <f t="shared" si="53"/>
        <v>-7.199999999999999</v>
      </c>
      <c r="Q31" s="7">
        <f>O31/N31%</f>
        <v>78.76106194690266</v>
      </c>
      <c r="R31" s="61">
        <f>R32</f>
        <v>276.4</v>
      </c>
      <c r="S31" s="61">
        <f>S32</f>
        <v>151.4</v>
      </c>
      <c r="T31" s="7">
        <f t="shared" si="9"/>
        <v>-124.99999999999997</v>
      </c>
      <c r="U31" s="7">
        <f t="shared" si="39"/>
        <v>54.77568740955138</v>
      </c>
      <c r="V31" s="61">
        <f>V32</f>
        <v>229.5</v>
      </c>
      <c r="W31" s="61">
        <f>W32</f>
        <v>643.4000000000001</v>
      </c>
      <c r="X31" s="7">
        <f t="shared" si="10"/>
        <v>413.9000000000001</v>
      </c>
      <c r="Y31" s="7" t="s">
        <v>117</v>
      </c>
      <c r="Z31" s="468">
        <f t="shared" si="40"/>
        <v>463.90000000000003</v>
      </c>
      <c r="AA31" s="468">
        <f t="shared" si="28"/>
        <v>520.5</v>
      </c>
      <c r="AB31" s="468">
        <f t="shared" si="29"/>
        <v>56.599999999999966</v>
      </c>
      <c r="AC31" s="468">
        <f t="shared" si="60"/>
        <v>112.2009053675361</v>
      </c>
      <c r="AD31" s="61">
        <f>AD32</f>
        <v>452.5</v>
      </c>
      <c r="AE31" s="61">
        <f>AE32</f>
        <v>136</v>
      </c>
      <c r="AF31" s="32">
        <f t="shared" si="30"/>
        <v>-316.5</v>
      </c>
      <c r="AG31" s="32">
        <f t="shared" si="54"/>
        <v>30.05524861878453</v>
      </c>
      <c r="AH31" s="61">
        <f>AH32</f>
        <v>4.6</v>
      </c>
      <c r="AI31" s="61">
        <f>AI32</f>
        <v>367</v>
      </c>
      <c r="AJ31" s="32">
        <f t="shared" si="12"/>
        <v>362.4</v>
      </c>
      <c r="AK31" s="7" t="s">
        <v>27</v>
      </c>
      <c r="AL31" s="61">
        <f>AL32</f>
        <v>6.8</v>
      </c>
      <c r="AM31" s="61">
        <f>AM32</f>
        <v>17.5</v>
      </c>
      <c r="AN31" s="7">
        <f t="shared" si="13"/>
        <v>10.7</v>
      </c>
      <c r="AO31" s="32">
        <f t="shared" si="14"/>
        <v>257.35294117647055</v>
      </c>
      <c r="AP31" s="14">
        <f t="shared" si="47"/>
        <v>1579.3</v>
      </c>
      <c r="AQ31" s="15">
        <f t="shared" si="47"/>
        <v>1728.7</v>
      </c>
      <c r="AR31" s="15">
        <f t="shared" si="15"/>
        <v>149.4000000000001</v>
      </c>
      <c r="AS31" s="16">
        <f t="shared" si="57"/>
        <v>109.45988729183816</v>
      </c>
      <c r="AT31" s="24">
        <f t="shared" si="52"/>
        <v>575.5999999999999</v>
      </c>
      <c r="AU31" s="468">
        <f aca="true" t="shared" si="61" ref="AU31:AU39">SUM(AY31+BC31+BG31)</f>
        <v>386.70000000000005</v>
      </c>
      <c r="AV31" s="468">
        <f t="shared" si="43"/>
        <v>-188.89999999999986</v>
      </c>
      <c r="AW31" s="469">
        <f aca="true" t="shared" si="62" ref="AW31:AW36">AU31/AT31%</f>
        <v>67.18207088255734</v>
      </c>
      <c r="AX31" s="60">
        <f>AX32</f>
        <v>557.4</v>
      </c>
      <c r="AY31" s="61">
        <f>AY32</f>
        <v>84.8</v>
      </c>
      <c r="AZ31" s="7">
        <f t="shared" si="49"/>
        <v>-472.59999999999997</v>
      </c>
      <c r="BA31" s="19">
        <f aca="true" t="shared" si="63" ref="BA31:BA38">AY31/AX31%</f>
        <v>15.213491209185504</v>
      </c>
      <c r="BB31" s="60">
        <f>BB32</f>
        <v>5.9</v>
      </c>
      <c r="BC31" s="61">
        <f>BC32</f>
        <v>300.8</v>
      </c>
      <c r="BD31" s="7">
        <f aca="true" t="shared" si="64" ref="BD31:BD37">BC31-BB31</f>
        <v>294.90000000000003</v>
      </c>
      <c r="BE31" s="18" t="s">
        <v>27</v>
      </c>
      <c r="BF31" s="258">
        <f>BF32</f>
        <v>12.3</v>
      </c>
      <c r="BG31" s="61">
        <f>BG32</f>
        <v>1.1</v>
      </c>
      <c r="BH31" s="61">
        <f>BH32</f>
        <v>-11.200000000000001</v>
      </c>
      <c r="BI31" s="28">
        <f>BG31/BF31%</f>
        <v>8.94308943089431</v>
      </c>
      <c r="BJ31" s="26">
        <f t="shared" si="34"/>
        <v>454.1</v>
      </c>
      <c r="BK31" s="468">
        <f t="shared" si="35"/>
        <v>218.60000000000002</v>
      </c>
      <c r="BL31" s="468">
        <f t="shared" si="36"/>
        <v>-235.5</v>
      </c>
      <c r="BM31" s="469">
        <f>BK31/BJ31%</f>
        <v>48.13917639286501</v>
      </c>
      <c r="BN31" s="60">
        <f>BN32</f>
        <v>452.8</v>
      </c>
      <c r="BO31" s="60">
        <f>BO32</f>
        <v>104.7</v>
      </c>
      <c r="BP31" s="7">
        <f t="shared" si="58"/>
        <v>-348.1</v>
      </c>
      <c r="BQ31" s="44">
        <f>BO31/BN31%</f>
        <v>23.122791519434628</v>
      </c>
      <c r="BR31" s="61">
        <f>BR32</f>
        <v>1.2</v>
      </c>
      <c r="BS31" s="61">
        <f>BS32</f>
        <v>21.1</v>
      </c>
      <c r="BT31" s="61">
        <f>BT32</f>
        <v>19.900000000000002</v>
      </c>
      <c r="BU31" s="32" t="s">
        <v>27</v>
      </c>
      <c r="BV31" s="62">
        <f>BV32</f>
        <v>0.1</v>
      </c>
      <c r="BW31" s="61">
        <f>BW32</f>
        <v>92.8</v>
      </c>
      <c r="BX31" s="32">
        <f t="shared" si="59"/>
        <v>92.7</v>
      </c>
      <c r="BY31" s="20" t="s">
        <v>27</v>
      </c>
    </row>
    <row r="32" spans="1:77" ht="40.5" customHeight="1">
      <c r="A32" s="50" t="s">
        <v>39</v>
      </c>
      <c r="B32" s="30">
        <f>J32+Z32+AT32+BJ32</f>
        <v>2033.4</v>
      </c>
      <c r="C32" s="31">
        <f>K32+AA32+AU32+BK32</f>
        <v>1947.3000000000002</v>
      </c>
      <c r="D32" s="33">
        <f t="shared" si="0"/>
        <v>-86.09999999999991</v>
      </c>
      <c r="E32" s="220">
        <f t="shared" si="1"/>
        <v>95.7657125995869</v>
      </c>
      <c r="F32" s="34">
        <f t="shared" si="2"/>
        <v>1003.7</v>
      </c>
      <c r="G32" s="35">
        <f t="shared" si="2"/>
        <v>1342</v>
      </c>
      <c r="H32" s="35">
        <f t="shared" si="3"/>
        <v>338.29999999999995</v>
      </c>
      <c r="I32" s="36">
        <f t="shared" si="56"/>
        <v>133.70529042542591</v>
      </c>
      <c r="J32" s="37">
        <f t="shared" si="45"/>
        <v>539.8</v>
      </c>
      <c r="K32" s="38">
        <f t="shared" si="46"/>
        <v>821.5000000000001</v>
      </c>
      <c r="L32" s="38">
        <f t="shared" si="5"/>
        <v>281.70000000000016</v>
      </c>
      <c r="M32" s="335" t="s">
        <v>117</v>
      </c>
      <c r="N32" s="57">
        <v>33.9</v>
      </c>
      <c r="O32" s="58">
        <v>26.7</v>
      </c>
      <c r="P32" s="32">
        <f t="shared" si="53"/>
        <v>-7.199999999999999</v>
      </c>
      <c r="Q32" s="32">
        <f>O32/N32%</f>
        <v>78.76106194690266</v>
      </c>
      <c r="R32" s="58">
        <v>276.4</v>
      </c>
      <c r="S32" s="58">
        <v>151.4</v>
      </c>
      <c r="T32" s="32">
        <f t="shared" si="9"/>
        <v>-124.99999999999997</v>
      </c>
      <c r="U32" s="7">
        <f t="shared" si="39"/>
        <v>54.77568740955138</v>
      </c>
      <c r="V32" s="58">
        <v>229.5</v>
      </c>
      <c r="W32" s="58">
        <f>633.7+9.7</f>
        <v>643.4000000000001</v>
      </c>
      <c r="X32" s="32">
        <f t="shared" si="10"/>
        <v>413.9000000000001</v>
      </c>
      <c r="Y32" s="7" t="s">
        <v>117</v>
      </c>
      <c r="Z32" s="38">
        <f t="shared" si="40"/>
        <v>463.90000000000003</v>
      </c>
      <c r="AA32" s="38">
        <f t="shared" si="28"/>
        <v>520.5</v>
      </c>
      <c r="AB32" s="38">
        <f t="shared" si="29"/>
        <v>56.599999999999966</v>
      </c>
      <c r="AC32" s="38">
        <f t="shared" si="60"/>
        <v>112.2009053675361</v>
      </c>
      <c r="AD32" s="58">
        <v>452.5</v>
      </c>
      <c r="AE32" s="58">
        <v>136</v>
      </c>
      <c r="AF32" s="32">
        <f t="shared" si="30"/>
        <v>-316.5</v>
      </c>
      <c r="AG32" s="32">
        <f t="shared" si="54"/>
        <v>30.05524861878453</v>
      </c>
      <c r="AH32" s="58">
        <v>4.6</v>
      </c>
      <c r="AI32" s="58">
        <v>367</v>
      </c>
      <c r="AJ32" s="32">
        <f t="shared" si="12"/>
        <v>362.4</v>
      </c>
      <c r="AK32" s="32" t="s">
        <v>27</v>
      </c>
      <c r="AL32" s="58">
        <v>6.8</v>
      </c>
      <c r="AM32" s="58">
        <v>17.5</v>
      </c>
      <c r="AN32" s="32">
        <f t="shared" si="13"/>
        <v>10.7</v>
      </c>
      <c r="AO32" s="32">
        <f t="shared" si="14"/>
        <v>257.35294117647055</v>
      </c>
      <c r="AP32" s="40">
        <f t="shared" si="47"/>
        <v>1579.3</v>
      </c>
      <c r="AQ32" s="41">
        <f t="shared" si="47"/>
        <v>1728.7</v>
      </c>
      <c r="AR32" s="41">
        <f t="shared" si="15"/>
        <v>149.4000000000001</v>
      </c>
      <c r="AS32" s="42">
        <f t="shared" si="57"/>
        <v>109.45988729183816</v>
      </c>
      <c r="AT32" s="37">
        <f t="shared" si="52"/>
        <v>575.5999999999999</v>
      </c>
      <c r="AU32" s="38">
        <f t="shared" si="61"/>
        <v>386.70000000000005</v>
      </c>
      <c r="AV32" s="38">
        <f t="shared" si="43"/>
        <v>-188.89999999999986</v>
      </c>
      <c r="AW32" s="43">
        <f t="shared" si="62"/>
        <v>67.18207088255734</v>
      </c>
      <c r="AX32" s="59">
        <v>557.4</v>
      </c>
      <c r="AY32" s="58">
        <v>84.8</v>
      </c>
      <c r="AZ32" s="32">
        <f t="shared" si="49"/>
        <v>-472.59999999999997</v>
      </c>
      <c r="BA32" s="44">
        <f t="shared" si="63"/>
        <v>15.213491209185504</v>
      </c>
      <c r="BB32" s="59">
        <v>5.9</v>
      </c>
      <c r="BC32" s="58">
        <v>300.8</v>
      </c>
      <c r="BD32" s="32">
        <f t="shared" si="64"/>
        <v>294.90000000000003</v>
      </c>
      <c r="BE32" s="28" t="s">
        <v>27</v>
      </c>
      <c r="BF32" s="57">
        <v>12.3</v>
      </c>
      <c r="BG32" s="58">
        <v>1.1</v>
      </c>
      <c r="BH32" s="32">
        <f aca="true" t="shared" si="65" ref="BH32:BH37">BG32-BF32</f>
        <v>-11.200000000000001</v>
      </c>
      <c r="BI32" s="28">
        <f>BG32/BF32%</f>
        <v>8.94308943089431</v>
      </c>
      <c r="BJ32" s="45">
        <f>BN32+BR32+BV32</f>
        <v>454.1</v>
      </c>
      <c r="BK32" s="38">
        <f>SUM(BO32+BS32+BW32)</f>
        <v>218.60000000000002</v>
      </c>
      <c r="BL32" s="38">
        <f t="shared" si="36"/>
        <v>-235.5</v>
      </c>
      <c r="BM32" s="469">
        <f aca="true" t="shared" si="66" ref="BM32:BM37">BK32/BJ32%</f>
        <v>48.13917639286501</v>
      </c>
      <c r="BN32" s="59">
        <v>452.8</v>
      </c>
      <c r="BO32" s="58">
        <v>104.7</v>
      </c>
      <c r="BP32" s="32">
        <f t="shared" si="58"/>
        <v>-348.1</v>
      </c>
      <c r="BQ32" s="44">
        <f>BO32/BN32%</f>
        <v>23.122791519434628</v>
      </c>
      <c r="BR32" s="58">
        <v>1.2</v>
      </c>
      <c r="BS32" s="58">
        <v>21.1</v>
      </c>
      <c r="BT32" s="32">
        <f aca="true" t="shared" si="67" ref="BT32:BT38">BS32-BR32</f>
        <v>19.900000000000002</v>
      </c>
      <c r="BU32" s="32" t="s">
        <v>27</v>
      </c>
      <c r="BV32" s="57">
        <v>0.1</v>
      </c>
      <c r="BW32" s="58">
        <v>92.8</v>
      </c>
      <c r="BX32" s="32">
        <f t="shared" si="59"/>
        <v>92.7</v>
      </c>
      <c r="BY32" s="220" t="s">
        <v>27</v>
      </c>
    </row>
    <row r="33" spans="1:77" s="21" customFormat="1" ht="33" customHeight="1">
      <c r="A33" s="51" t="s">
        <v>40</v>
      </c>
      <c r="B33" s="60">
        <f>B34</f>
        <v>448.3</v>
      </c>
      <c r="C33" s="62">
        <f>C34</f>
        <v>627.9999999999999</v>
      </c>
      <c r="D33" s="8">
        <f t="shared" si="0"/>
        <v>179.69999999999987</v>
      </c>
      <c r="E33" s="20">
        <f t="shared" si="1"/>
        <v>140.0847646665179</v>
      </c>
      <c r="F33" s="9">
        <f t="shared" si="2"/>
        <v>420</v>
      </c>
      <c r="G33" s="10">
        <f t="shared" si="2"/>
        <v>515.1999999999999</v>
      </c>
      <c r="H33" s="10">
        <f t="shared" si="3"/>
        <v>95.19999999999993</v>
      </c>
      <c r="I33" s="11">
        <f t="shared" si="56"/>
        <v>122.66666666666664</v>
      </c>
      <c r="J33" s="24">
        <f t="shared" si="45"/>
        <v>0</v>
      </c>
      <c r="K33" s="468">
        <f t="shared" si="46"/>
        <v>444.9</v>
      </c>
      <c r="L33" s="468">
        <f t="shared" si="5"/>
        <v>444.9</v>
      </c>
      <c r="M33" s="336"/>
      <c r="N33" s="62">
        <f>N34</f>
        <v>0</v>
      </c>
      <c r="O33" s="62">
        <f>O34</f>
        <v>9.6</v>
      </c>
      <c r="P33" s="32">
        <f t="shared" si="53"/>
        <v>9.6</v>
      </c>
      <c r="Q33" s="32"/>
      <c r="R33" s="62">
        <f>R34</f>
        <v>0</v>
      </c>
      <c r="S33" s="62">
        <f>S34</f>
        <v>45.9</v>
      </c>
      <c r="T33" s="7">
        <f t="shared" si="9"/>
        <v>45.9</v>
      </c>
      <c r="U33" s="7"/>
      <c r="V33" s="62">
        <f>V34</f>
        <v>0</v>
      </c>
      <c r="W33" s="62">
        <f>W34</f>
        <v>389.4</v>
      </c>
      <c r="X33" s="32">
        <f t="shared" si="10"/>
        <v>389.4</v>
      </c>
      <c r="Y33" s="32"/>
      <c r="Z33" s="468">
        <f t="shared" si="40"/>
        <v>420</v>
      </c>
      <c r="AA33" s="468">
        <f t="shared" si="28"/>
        <v>70.3</v>
      </c>
      <c r="AB33" s="468">
        <f t="shared" si="29"/>
        <v>-349.7</v>
      </c>
      <c r="AC33" s="38">
        <f t="shared" si="60"/>
        <v>16.738095238095237</v>
      </c>
      <c r="AD33" s="62">
        <f>AD34</f>
        <v>419</v>
      </c>
      <c r="AE33" s="62">
        <f>AE34</f>
        <v>47.8</v>
      </c>
      <c r="AF33" s="7">
        <f t="shared" si="30"/>
        <v>-371.2</v>
      </c>
      <c r="AG33" s="32">
        <f t="shared" si="54"/>
        <v>11.408114558472551</v>
      </c>
      <c r="AH33" s="62">
        <f>AH34</f>
        <v>1</v>
      </c>
      <c r="AI33" s="62">
        <f>AI34</f>
        <v>8.1</v>
      </c>
      <c r="AJ33" s="7">
        <f t="shared" si="12"/>
        <v>7.1</v>
      </c>
      <c r="AK33" s="7"/>
      <c r="AL33" s="61">
        <f>AL34</f>
        <v>0</v>
      </c>
      <c r="AM33" s="61">
        <f>AM34</f>
        <v>14.4</v>
      </c>
      <c r="AN33" s="7">
        <f t="shared" si="13"/>
        <v>14.4</v>
      </c>
      <c r="AO33" s="7"/>
      <c r="AP33" s="14">
        <f>J33+Z33+AT33</f>
        <v>434.8</v>
      </c>
      <c r="AQ33" s="63">
        <f>AQ34</f>
        <v>551.6999999999999</v>
      </c>
      <c r="AR33" s="15">
        <f t="shared" si="15"/>
        <v>116.89999999999992</v>
      </c>
      <c r="AS33" s="16">
        <f t="shared" si="57"/>
        <v>126.88592456301747</v>
      </c>
      <c r="AT33" s="24">
        <f t="shared" si="52"/>
        <v>14.8</v>
      </c>
      <c r="AU33" s="468">
        <f t="shared" si="61"/>
        <v>36.5</v>
      </c>
      <c r="AV33" s="468">
        <f t="shared" si="43"/>
        <v>21.7</v>
      </c>
      <c r="AW33" s="469" t="s">
        <v>27</v>
      </c>
      <c r="AX33" s="60">
        <f>AX34</f>
        <v>14.8</v>
      </c>
      <c r="AY33" s="62">
        <f>AY34</f>
        <v>17</v>
      </c>
      <c r="AZ33" s="7">
        <f t="shared" si="49"/>
        <v>2.1999999999999993</v>
      </c>
      <c r="BA33" s="19">
        <f t="shared" si="63"/>
        <v>114.86486486486486</v>
      </c>
      <c r="BB33" s="60">
        <f>BB34</f>
        <v>0</v>
      </c>
      <c r="BC33" s="62">
        <f>BC34</f>
        <v>10</v>
      </c>
      <c r="BD33" s="32">
        <f t="shared" si="64"/>
        <v>10</v>
      </c>
      <c r="BE33" s="28"/>
      <c r="BF33" s="62">
        <f>BF34</f>
        <v>0</v>
      </c>
      <c r="BG33" s="62">
        <f>BG34</f>
        <v>9.5</v>
      </c>
      <c r="BH33" s="32">
        <f t="shared" si="65"/>
        <v>9.5</v>
      </c>
      <c r="BI33" s="28"/>
      <c r="BJ33" s="26">
        <f t="shared" si="34"/>
        <v>13.5</v>
      </c>
      <c r="BK33" s="468">
        <f t="shared" si="35"/>
        <v>76.3</v>
      </c>
      <c r="BL33" s="468">
        <f t="shared" si="36"/>
        <v>62.8</v>
      </c>
      <c r="BM33" s="43" t="s">
        <v>27</v>
      </c>
      <c r="BN33" s="62">
        <f>BN34</f>
        <v>2.1</v>
      </c>
      <c r="BO33" s="62">
        <f>BO34</f>
        <v>17.8</v>
      </c>
      <c r="BP33" s="32">
        <f t="shared" si="58"/>
        <v>15.700000000000001</v>
      </c>
      <c r="BQ33" s="44" t="s">
        <v>27</v>
      </c>
      <c r="BR33" s="61">
        <f>BR34</f>
        <v>0</v>
      </c>
      <c r="BS33" s="61">
        <f>BS34</f>
        <v>19.2</v>
      </c>
      <c r="BT33" s="7">
        <f t="shared" si="67"/>
        <v>19.2</v>
      </c>
      <c r="BU33" s="32"/>
      <c r="BV33" s="62">
        <f>BV34</f>
        <v>11.4</v>
      </c>
      <c r="BW33" s="61">
        <f>BW34</f>
        <v>39.3</v>
      </c>
      <c r="BX33" s="7">
        <f t="shared" si="59"/>
        <v>27.9</v>
      </c>
      <c r="BY33" s="7"/>
    </row>
    <row r="34" spans="1:77" ht="40.5" customHeight="1">
      <c r="A34" s="64" t="s">
        <v>41</v>
      </c>
      <c r="B34" s="30">
        <f>J34+Z34+AT34+BJ34</f>
        <v>448.3</v>
      </c>
      <c r="C34" s="31">
        <f>K34+AA34+AU34+BK34</f>
        <v>627.9999999999999</v>
      </c>
      <c r="D34" s="33">
        <f t="shared" si="0"/>
        <v>179.69999999999987</v>
      </c>
      <c r="E34" s="220">
        <f t="shared" si="1"/>
        <v>140.0847646665179</v>
      </c>
      <c r="F34" s="34">
        <f t="shared" si="2"/>
        <v>420</v>
      </c>
      <c r="G34" s="35">
        <f t="shared" si="2"/>
        <v>515.1999999999999</v>
      </c>
      <c r="H34" s="35">
        <f t="shared" si="3"/>
        <v>95.19999999999993</v>
      </c>
      <c r="I34" s="36">
        <f t="shared" si="56"/>
        <v>122.66666666666664</v>
      </c>
      <c r="J34" s="37">
        <f t="shared" si="45"/>
        <v>0</v>
      </c>
      <c r="K34" s="38">
        <f t="shared" si="46"/>
        <v>444.9</v>
      </c>
      <c r="L34" s="38">
        <f t="shared" si="5"/>
        <v>444.9</v>
      </c>
      <c r="M34" s="336"/>
      <c r="N34" s="57"/>
      <c r="O34" s="58">
        <v>9.6</v>
      </c>
      <c r="P34" s="32">
        <f t="shared" si="53"/>
        <v>9.6</v>
      </c>
      <c r="Q34" s="32"/>
      <c r="R34" s="58"/>
      <c r="S34" s="58">
        <v>45.9</v>
      </c>
      <c r="T34" s="32">
        <f t="shared" si="9"/>
        <v>45.9</v>
      </c>
      <c r="U34" s="7"/>
      <c r="V34" s="58"/>
      <c r="W34" s="58">
        <v>389.4</v>
      </c>
      <c r="X34" s="32">
        <f t="shared" si="10"/>
        <v>389.4</v>
      </c>
      <c r="Y34" s="32"/>
      <c r="Z34" s="38">
        <f t="shared" si="40"/>
        <v>420</v>
      </c>
      <c r="AA34" s="38">
        <f t="shared" si="28"/>
        <v>70.3</v>
      </c>
      <c r="AB34" s="38">
        <f t="shared" si="29"/>
        <v>-349.7</v>
      </c>
      <c r="AC34" s="38">
        <f t="shared" si="60"/>
        <v>16.738095238095237</v>
      </c>
      <c r="AD34" s="58">
        <v>419</v>
      </c>
      <c r="AE34" s="58">
        <v>47.8</v>
      </c>
      <c r="AF34" s="32">
        <f t="shared" si="30"/>
        <v>-371.2</v>
      </c>
      <c r="AG34" s="32">
        <f t="shared" si="54"/>
        <v>11.408114558472551</v>
      </c>
      <c r="AH34" s="58">
        <v>1</v>
      </c>
      <c r="AI34" s="58">
        <v>8.1</v>
      </c>
      <c r="AJ34" s="32">
        <f t="shared" si="12"/>
        <v>7.1</v>
      </c>
      <c r="AK34" s="7"/>
      <c r="AL34" s="58"/>
      <c r="AM34" s="58">
        <v>14.4</v>
      </c>
      <c r="AN34" s="32">
        <f t="shared" si="13"/>
        <v>14.4</v>
      </c>
      <c r="AO34" s="32"/>
      <c r="AP34" s="14">
        <f>J34+Z34+AT34</f>
        <v>434.8</v>
      </c>
      <c r="AQ34" s="41">
        <f aca="true" t="shared" si="68" ref="AP34:AQ39">K34+AA34+AU34</f>
        <v>551.6999999999999</v>
      </c>
      <c r="AR34" s="41">
        <f t="shared" si="15"/>
        <v>116.89999999999992</v>
      </c>
      <c r="AS34" s="42">
        <f t="shared" si="57"/>
        <v>126.88592456301747</v>
      </c>
      <c r="AT34" s="37">
        <f t="shared" si="52"/>
        <v>14.8</v>
      </c>
      <c r="AU34" s="38">
        <f t="shared" si="61"/>
        <v>36.5</v>
      </c>
      <c r="AV34" s="38">
        <f t="shared" si="43"/>
        <v>21.7</v>
      </c>
      <c r="AW34" s="43" t="s">
        <v>27</v>
      </c>
      <c r="AX34" s="59">
        <v>14.8</v>
      </c>
      <c r="AY34" s="58">
        <v>17</v>
      </c>
      <c r="AZ34" s="32">
        <f t="shared" si="49"/>
        <v>2.1999999999999993</v>
      </c>
      <c r="BA34" s="44">
        <f t="shared" si="63"/>
        <v>114.86486486486486</v>
      </c>
      <c r="BB34" s="59"/>
      <c r="BC34" s="58">
        <v>10</v>
      </c>
      <c r="BD34" s="32">
        <f t="shared" si="64"/>
        <v>10</v>
      </c>
      <c r="BE34" s="28"/>
      <c r="BF34" s="57"/>
      <c r="BG34" s="58">
        <v>9.5</v>
      </c>
      <c r="BH34" s="32">
        <f t="shared" si="65"/>
        <v>9.5</v>
      </c>
      <c r="BI34" s="28"/>
      <c r="BJ34" s="45">
        <f t="shared" si="34"/>
        <v>13.5</v>
      </c>
      <c r="BK34" s="38">
        <f t="shared" si="35"/>
        <v>76.3</v>
      </c>
      <c r="BL34" s="38">
        <f t="shared" si="36"/>
        <v>62.8</v>
      </c>
      <c r="BM34" s="43" t="s">
        <v>27</v>
      </c>
      <c r="BN34" s="59">
        <v>2.1</v>
      </c>
      <c r="BO34" s="58">
        <v>17.8</v>
      </c>
      <c r="BP34" s="32">
        <f t="shared" si="58"/>
        <v>15.700000000000001</v>
      </c>
      <c r="BQ34" s="44" t="s">
        <v>27</v>
      </c>
      <c r="BR34" s="58"/>
      <c r="BS34" s="58">
        <v>19.2</v>
      </c>
      <c r="BT34" s="7">
        <f t="shared" si="67"/>
        <v>19.2</v>
      </c>
      <c r="BU34" s="32"/>
      <c r="BV34" s="57">
        <v>11.4</v>
      </c>
      <c r="BW34" s="58">
        <v>39.3</v>
      </c>
      <c r="BX34" s="32">
        <f t="shared" si="59"/>
        <v>27.9</v>
      </c>
      <c r="BY34" s="32"/>
    </row>
    <row r="35" spans="1:77" s="66" customFormat="1" ht="33.75" customHeight="1">
      <c r="A35" s="65" t="s">
        <v>42</v>
      </c>
      <c r="B35" s="60">
        <f>B37+B36</f>
        <v>19867.100000000002</v>
      </c>
      <c r="C35" s="62">
        <f>C37+C36</f>
        <v>22048.699999999997</v>
      </c>
      <c r="D35" s="7">
        <f t="shared" si="0"/>
        <v>2181.599999999995</v>
      </c>
      <c r="E35" s="20">
        <f t="shared" si="1"/>
        <v>110.98096853592116</v>
      </c>
      <c r="F35" s="9">
        <f t="shared" si="2"/>
        <v>1938.7</v>
      </c>
      <c r="G35" s="10">
        <f t="shared" si="2"/>
        <v>2620.3</v>
      </c>
      <c r="H35" s="10">
        <f t="shared" si="3"/>
        <v>681.6000000000001</v>
      </c>
      <c r="I35" s="259" t="s">
        <v>27</v>
      </c>
      <c r="J35" s="24">
        <f t="shared" si="45"/>
        <v>0</v>
      </c>
      <c r="K35" s="468">
        <f t="shared" si="46"/>
        <v>912.7</v>
      </c>
      <c r="L35" s="468">
        <f t="shared" si="5"/>
        <v>912.7</v>
      </c>
      <c r="M35" s="337"/>
      <c r="N35" s="62">
        <f>N37+N36</f>
        <v>0</v>
      </c>
      <c r="O35" s="62">
        <f>O37+O36</f>
        <v>479.4</v>
      </c>
      <c r="P35" s="7">
        <f t="shared" si="53"/>
        <v>479.4</v>
      </c>
      <c r="Q35" s="7"/>
      <c r="R35" s="62">
        <f>R37+R36</f>
        <v>0</v>
      </c>
      <c r="S35" s="62">
        <f>S37+S36</f>
        <v>182.8</v>
      </c>
      <c r="T35" s="7">
        <f t="shared" si="9"/>
        <v>182.8</v>
      </c>
      <c r="U35" s="7"/>
      <c r="V35" s="62">
        <f>V37+V36</f>
        <v>0</v>
      </c>
      <c r="W35" s="62">
        <f>W37+W36</f>
        <v>250.5</v>
      </c>
      <c r="X35" s="7">
        <f t="shared" si="10"/>
        <v>250.5</v>
      </c>
      <c r="Y35" s="7"/>
      <c r="Z35" s="468">
        <f t="shared" si="40"/>
        <v>1938.7</v>
      </c>
      <c r="AA35" s="468">
        <f t="shared" si="28"/>
        <v>1707.6</v>
      </c>
      <c r="AB35" s="468">
        <f t="shared" si="29"/>
        <v>-231.10000000000014</v>
      </c>
      <c r="AC35" s="468">
        <f t="shared" si="60"/>
        <v>88.07964099654407</v>
      </c>
      <c r="AD35" s="62">
        <f>AD37+AD36</f>
        <v>0</v>
      </c>
      <c r="AE35" s="62">
        <f>AE37+AE36</f>
        <v>1026</v>
      </c>
      <c r="AF35" s="7">
        <f t="shared" si="30"/>
        <v>1026</v>
      </c>
      <c r="AG35" s="32"/>
      <c r="AH35" s="62">
        <f>AH37+AH36</f>
        <v>1938.7</v>
      </c>
      <c r="AI35" s="62">
        <f>AI37+AI36</f>
        <v>530.1</v>
      </c>
      <c r="AJ35" s="7">
        <f t="shared" si="12"/>
        <v>-1408.6</v>
      </c>
      <c r="AK35" s="7"/>
      <c r="AL35" s="61">
        <f>AL37+AL36</f>
        <v>0</v>
      </c>
      <c r="AM35" s="61">
        <f>AM37+AM36</f>
        <v>151.5</v>
      </c>
      <c r="AN35" s="7">
        <f t="shared" si="13"/>
        <v>151.5</v>
      </c>
      <c r="AO35" s="7"/>
      <c r="AP35" s="14">
        <f t="shared" si="68"/>
        <v>4567.1</v>
      </c>
      <c r="AQ35" s="15">
        <f t="shared" si="68"/>
        <v>17942.100000000002</v>
      </c>
      <c r="AR35" s="15">
        <f t="shared" si="15"/>
        <v>13375.000000000002</v>
      </c>
      <c r="AS35" s="16" t="s">
        <v>27</v>
      </c>
      <c r="AT35" s="24">
        <f t="shared" si="52"/>
        <v>2628.4</v>
      </c>
      <c r="AU35" s="468">
        <f t="shared" si="61"/>
        <v>15321.800000000001</v>
      </c>
      <c r="AV35" s="468">
        <f t="shared" si="43"/>
        <v>12693.400000000001</v>
      </c>
      <c r="AW35" s="469" t="s">
        <v>27</v>
      </c>
      <c r="AX35" s="60">
        <f>AX37+AX36</f>
        <v>681.4</v>
      </c>
      <c r="AY35" s="62">
        <f>AY37+AY36</f>
        <v>431.2</v>
      </c>
      <c r="AZ35" s="7">
        <f t="shared" si="49"/>
        <v>-250.2</v>
      </c>
      <c r="BA35" s="19">
        <f t="shared" si="63"/>
        <v>63.28147930730848</v>
      </c>
      <c r="BB35" s="60">
        <f>BB37+BB36</f>
        <v>0</v>
      </c>
      <c r="BC35" s="62">
        <f>BC37+BC36</f>
        <v>2229.9</v>
      </c>
      <c r="BD35" s="7">
        <f t="shared" si="64"/>
        <v>2229.9</v>
      </c>
      <c r="BE35" s="18" t="s">
        <v>27</v>
      </c>
      <c r="BF35" s="62">
        <f>BF37+BF36</f>
        <v>1947</v>
      </c>
      <c r="BG35" s="62">
        <f>BG37+BG36</f>
        <v>12660.7</v>
      </c>
      <c r="BH35" s="7">
        <f t="shared" si="65"/>
        <v>10713.7</v>
      </c>
      <c r="BI35" s="260" t="s">
        <v>27</v>
      </c>
      <c r="BJ35" s="26">
        <f t="shared" si="34"/>
        <v>15300</v>
      </c>
      <c r="BK35" s="468">
        <f t="shared" si="35"/>
        <v>4106.6</v>
      </c>
      <c r="BL35" s="468">
        <f t="shared" si="36"/>
        <v>-11193.4</v>
      </c>
      <c r="BM35" s="469">
        <f t="shared" si="66"/>
        <v>26.840522875816998</v>
      </c>
      <c r="BN35" s="62">
        <f>BN37+BN36</f>
        <v>3300</v>
      </c>
      <c r="BO35" s="62">
        <f>BO37+BO36</f>
        <v>2601.6000000000004</v>
      </c>
      <c r="BP35" s="7">
        <f t="shared" si="58"/>
        <v>-698.3999999999996</v>
      </c>
      <c r="BQ35" s="44">
        <f>BO35/BN35%</f>
        <v>78.83636363636364</v>
      </c>
      <c r="BR35" s="61">
        <f>BR37+BR36</f>
        <v>6000</v>
      </c>
      <c r="BS35" s="61">
        <f>BS37+BS36</f>
        <v>1105.3</v>
      </c>
      <c r="BT35" s="7">
        <f t="shared" si="67"/>
        <v>-4894.7</v>
      </c>
      <c r="BU35" s="32" t="s">
        <v>27</v>
      </c>
      <c r="BV35" s="62">
        <f>BV37+BV36</f>
        <v>6000</v>
      </c>
      <c r="BW35" s="61">
        <f>BW37+BW36</f>
        <v>399.70000000000005</v>
      </c>
      <c r="BX35" s="7">
        <f t="shared" si="59"/>
        <v>-5600.3</v>
      </c>
      <c r="BY35" s="32" t="s">
        <v>27</v>
      </c>
    </row>
    <row r="36" spans="1:77" s="1" customFormat="1" ht="22.5" customHeight="1">
      <c r="A36" s="46" t="s">
        <v>43</v>
      </c>
      <c r="B36" s="30">
        <f aca="true" t="shared" si="69" ref="B36:C39">J36+Z36+AT36+BJ36</f>
        <v>1624.7</v>
      </c>
      <c r="C36" s="31">
        <f t="shared" si="69"/>
        <v>2432.8</v>
      </c>
      <c r="D36" s="32">
        <f t="shared" si="0"/>
        <v>808.1000000000001</v>
      </c>
      <c r="E36" s="220">
        <f t="shared" si="1"/>
        <v>149.73841324552225</v>
      </c>
      <c r="F36" s="34">
        <f t="shared" si="2"/>
        <v>666.5</v>
      </c>
      <c r="G36" s="35">
        <f t="shared" si="2"/>
        <v>810.1</v>
      </c>
      <c r="H36" s="35">
        <f t="shared" si="3"/>
        <v>143.60000000000002</v>
      </c>
      <c r="I36" s="36">
        <f>G36/F36%</f>
        <v>121.54538634658665</v>
      </c>
      <c r="J36" s="37">
        <f t="shared" si="45"/>
        <v>0</v>
      </c>
      <c r="K36" s="38">
        <f t="shared" si="46"/>
        <v>594.6</v>
      </c>
      <c r="L36" s="38">
        <f t="shared" si="5"/>
        <v>594.6</v>
      </c>
      <c r="M36" s="336"/>
      <c r="N36" s="57"/>
      <c r="O36" s="58">
        <v>451.5</v>
      </c>
      <c r="P36" s="32">
        <f t="shared" si="53"/>
        <v>451.5</v>
      </c>
      <c r="Q36" s="7"/>
      <c r="R36" s="58"/>
      <c r="S36" s="58">
        <v>55.8</v>
      </c>
      <c r="T36" s="32">
        <f t="shared" si="9"/>
        <v>55.8</v>
      </c>
      <c r="U36" s="7"/>
      <c r="V36" s="58"/>
      <c r="W36" s="58">
        <v>87.3</v>
      </c>
      <c r="X36" s="32">
        <f t="shared" si="10"/>
        <v>87.3</v>
      </c>
      <c r="Y36" s="7"/>
      <c r="Z36" s="38">
        <f t="shared" si="40"/>
        <v>666.5</v>
      </c>
      <c r="AA36" s="38">
        <f t="shared" si="28"/>
        <v>215.5</v>
      </c>
      <c r="AB36" s="38">
        <f t="shared" si="29"/>
        <v>-451</v>
      </c>
      <c r="AC36" s="38">
        <f t="shared" si="60"/>
        <v>32.3330832708177</v>
      </c>
      <c r="AD36" s="58"/>
      <c r="AE36" s="58">
        <v>71.9</v>
      </c>
      <c r="AF36" s="32">
        <f t="shared" si="30"/>
        <v>71.9</v>
      </c>
      <c r="AG36" s="32"/>
      <c r="AH36" s="58">
        <v>666.5</v>
      </c>
      <c r="AI36" s="58">
        <v>72</v>
      </c>
      <c r="AJ36" s="32">
        <f t="shared" si="12"/>
        <v>-594.5</v>
      </c>
      <c r="AK36" s="7"/>
      <c r="AL36" s="58"/>
      <c r="AM36" s="58">
        <v>71.6</v>
      </c>
      <c r="AN36" s="32">
        <f t="shared" si="13"/>
        <v>71.6</v>
      </c>
      <c r="AO36" s="32"/>
      <c r="AP36" s="40">
        <f t="shared" si="68"/>
        <v>810</v>
      </c>
      <c r="AQ36" s="41">
        <f t="shared" si="68"/>
        <v>1024.8</v>
      </c>
      <c r="AR36" s="41">
        <f t="shared" si="15"/>
        <v>214.79999999999995</v>
      </c>
      <c r="AS36" s="42" t="s">
        <v>27</v>
      </c>
      <c r="AT36" s="37">
        <f t="shared" si="52"/>
        <v>143.5</v>
      </c>
      <c r="AU36" s="38">
        <f t="shared" si="61"/>
        <v>214.7</v>
      </c>
      <c r="AV36" s="38">
        <f t="shared" si="43"/>
        <v>71.19999999999999</v>
      </c>
      <c r="AW36" s="43">
        <f t="shared" si="62"/>
        <v>149.61672473867594</v>
      </c>
      <c r="AX36" s="59">
        <v>143.5</v>
      </c>
      <c r="AY36" s="58">
        <v>71.7</v>
      </c>
      <c r="AZ36" s="32">
        <f t="shared" si="49"/>
        <v>-71.8</v>
      </c>
      <c r="BA36" s="44">
        <f t="shared" si="63"/>
        <v>49.965156794425084</v>
      </c>
      <c r="BB36" s="59"/>
      <c r="BC36" s="58">
        <v>71.5</v>
      </c>
      <c r="BD36" s="32">
        <f t="shared" si="64"/>
        <v>71.5</v>
      </c>
      <c r="BE36" s="28"/>
      <c r="BF36" s="57"/>
      <c r="BG36" s="58">
        <v>71.5</v>
      </c>
      <c r="BH36" s="32">
        <f t="shared" si="65"/>
        <v>71.5</v>
      </c>
      <c r="BI36" s="28"/>
      <c r="BJ36" s="45">
        <f t="shared" si="34"/>
        <v>814.7</v>
      </c>
      <c r="BK36" s="38">
        <f t="shared" si="35"/>
        <v>1408</v>
      </c>
      <c r="BL36" s="38">
        <f>BK36-BJ36</f>
        <v>593.3</v>
      </c>
      <c r="BM36" s="43" t="s">
        <v>27</v>
      </c>
      <c r="BN36" s="365">
        <v>214.7</v>
      </c>
      <c r="BO36" s="58">
        <v>1194.4</v>
      </c>
      <c r="BP36" s="7">
        <f t="shared" si="58"/>
        <v>979.7</v>
      </c>
      <c r="BQ36" s="44" t="s">
        <v>27</v>
      </c>
      <c r="BR36" s="58">
        <v>300</v>
      </c>
      <c r="BS36" s="58">
        <v>168.5</v>
      </c>
      <c r="BT36" s="32">
        <f t="shared" si="67"/>
        <v>-131.5</v>
      </c>
      <c r="BU36" s="32" t="s">
        <v>27</v>
      </c>
      <c r="BV36" s="57">
        <v>300</v>
      </c>
      <c r="BW36" s="58">
        <v>45.1</v>
      </c>
      <c r="BX36" s="32">
        <f t="shared" si="59"/>
        <v>-254.9</v>
      </c>
      <c r="BY36" s="32">
        <f>BW36/BV36%</f>
        <v>15.033333333333333</v>
      </c>
    </row>
    <row r="37" spans="1:77" ht="21.75" customHeight="1">
      <c r="A37" s="64" t="s">
        <v>44</v>
      </c>
      <c r="B37" s="30">
        <f t="shared" si="69"/>
        <v>18242.4</v>
      </c>
      <c r="C37" s="31">
        <f t="shared" si="69"/>
        <v>19615.899999999998</v>
      </c>
      <c r="D37" s="33">
        <f t="shared" si="0"/>
        <v>1373.4999999999964</v>
      </c>
      <c r="E37" s="220">
        <f t="shared" si="1"/>
        <v>107.52916282945225</v>
      </c>
      <c r="F37" s="34">
        <f t="shared" si="2"/>
        <v>1272.2</v>
      </c>
      <c r="G37" s="35">
        <f t="shared" si="2"/>
        <v>1810.2000000000003</v>
      </c>
      <c r="H37" s="35">
        <f t="shared" si="3"/>
        <v>538.0000000000002</v>
      </c>
      <c r="I37" s="36">
        <f>G37/F37%</f>
        <v>142.28894827857255</v>
      </c>
      <c r="J37" s="37">
        <f t="shared" si="45"/>
        <v>0</v>
      </c>
      <c r="K37" s="38">
        <f t="shared" si="46"/>
        <v>318.1</v>
      </c>
      <c r="L37" s="38">
        <f t="shared" si="5"/>
        <v>318.1</v>
      </c>
      <c r="M37" s="336"/>
      <c r="N37" s="57"/>
      <c r="O37" s="58">
        <v>27.9</v>
      </c>
      <c r="P37" s="7">
        <f t="shared" si="53"/>
        <v>27.9</v>
      </c>
      <c r="Q37" s="32"/>
      <c r="R37" s="58"/>
      <c r="S37" s="58">
        <v>127</v>
      </c>
      <c r="T37" s="32">
        <f t="shared" si="9"/>
        <v>127</v>
      </c>
      <c r="U37" s="7"/>
      <c r="V37" s="58"/>
      <c r="W37" s="58">
        <v>163.2</v>
      </c>
      <c r="X37" s="32">
        <f t="shared" si="10"/>
        <v>163.2</v>
      </c>
      <c r="Y37" s="32"/>
      <c r="Z37" s="38">
        <f t="shared" si="40"/>
        <v>1272.2</v>
      </c>
      <c r="AA37" s="38">
        <f t="shared" si="28"/>
        <v>1492.1000000000001</v>
      </c>
      <c r="AB37" s="38">
        <f t="shared" si="29"/>
        <v>219.9000000000001</v>
      </c>
      <c r="AC37" s="38">
        <f t="shared" si="60"/>
        <v>117.28501807891841</v>
      </c>
      <c r="AD37" s="58"/>
      <c r="AE37" s="58">
        <v>954.1</v>
      </c>
      <c r="AF37" s="32">
        <f t="shared" si="30"/>
        <v>954.1</v>
      </c>
      <c r="AG37" s="32"/>
      <c r="AH37" s="58">
        <v>1272.2</v>
      </c>
      <c r="AI37" s="58">
        <v>458.1</v>
      </c>
      <c r="AJ37" s="32">
        <f t="shared" si="12"/>
        <v>-814.1</v>
      </c>
      <c r="AK37" s="7"/>
      <c r="AL37" s="58"/>
      <c r="AM37" s="58">
        <v>79.9</v>
      </c>
      <c r="AN37" s="32">
        <f t="shared" si="13"/>
        <v>79.9</v>
      </c>
      <c r="AO37" s="32"/>
      <c r="AP37" s="40">
        <f t="shared" si="68"/>
        <v>3757.1000000000004</v>
      </c>
      <c r="AQ37" s="41">
        <f t="shared" si="68"/>
        <v>16917.3</v>
      </c>
      <c r="AR37" s="41">
        <f t="shared" si="15"/>
        <v>13160.199999999999</v>
      </c>
      <c r="AS37" s="42" t="s">
        <v>27</v>
      </c>
      <c r="AT37" s="37">
        <f t="shared" si="52"/>
        <v>2484.9</v>
      </c>
      <c r="AU37" s="38">
        <f t="shared" si="61"/>
        <v>15107.1</v>
      </c>
      <c r="AV37" s="38">
        <f t="shared" si="43"/>
        <v>12622.2</v>
      </c>
      <c r="AW37" s="43" t="s">
        <v>27</v>
      </c>
      <c r="AX37" s="59">
        <v>537.9</v>
      </c>
      <c r="AY37" s="58">
        <v>359.5</v>
      </c>
      <c r="AZ37" s="32">
        <f t="shared" si="49"/>
        <v>-178.39999999999998</v>
      </c>
      <c r="BA37" s="44">
        <f t="shared" si="63"/>
        <v>66.83398401189812</v>
      </c>
      <c r="BB37" s="59"/>
      <c r="BC37" s="58">
        <v>2158.4</v>
      </c>
      <c r="BD37" s="32">
        <f t="shared" si="64"/>
        <v>2158.4</v>
      </c>
      <c r="BE37" s="28"/>
      <c r="BF37" s="57">
        <v>1947</v>
      </c>
      <c r="BG37" s="58">
        <v>12589.2</v>
      </c>
      <c r="BH37" s="32">
        <f t="shared" si="65"/>
        <v>10642.2</v>
      </c>
      <c r="BI37" s="49" t="s">
        <v>27</v>
      </c>
      <c r="BJ37" s="45">
        <f t="shared" si="34"/>
        <v>14485.3</v>
      </c>
      <c r="BK37" s="38">
        <f t="shared" si="35"/>
        <v>2698.6</v>
      </c>
      <c r="BL37" s="38">
        <f>BK37-BJ37</f>
        <v>-11786.699999999999</v>
      </c>
      <c r="BM37" s="469">
        <f t="shared" si="66"/>
        <v>18.629921368559852</v>
      </c>
      <c r="BN37" s="365">
        <v>3085.3</v>
      </c>
      <c r="BO37" s="58">
        <v>1407.2</v>
      </c>
      <c r="BP37" s="7">
        <f t="shared" si="58"/>
        <v>-1678.1000000000001</v>
      </c>
      <c r="BQ37" s="44">
        <f>BO37/BN37%</f>
        <v>45.6098272453246</v>
      </c>
      <c r="BR37" s="58">
        <f>5000+700</f>
        <v>5700</v>
      </c>
      <c r="BS37" s="58">
        <v>936.8</v>
      </c>
      <c r="BT37" s="32">
        <f t="shared" si="67"/>
        <v>-4763.2</v>
      </c>
      <c r="BU37" s="32"/>
      <c r="BV37" s="57">
        <f>5000+700</f>
        <v>5700</v>
      </c>
      <c r="BW37" s="58">
        <v>354.6</v>
      </c>
      <c r="BX37" s="32">
        <f t="shared" si="59"/>
        <v>-5345.4</v>
      </c>
      <c r="BY37" s="32">
        <f>BW37/BV37%</f>
        <v>6.221052631578948</v>
      </c>
    </row>
    <row r="38" spans="1:77" s="21" customFormat="1" ht="37.5" customHeight="1" thickBot="1">
      <c r="A38" s="65" t="s">
        <v>45</v>
      </c>
      <c r="B38" s="67">
        <f t="shared" si="69"/>
        <v>7538.4</v>
      </c>
      <c r="C38" s="68">
        <f t="shared" si="69"/>
        <v>10925.100000000002</v>
      </c>
      <c r="D38" s="69">
        <f t="shared" si="0"/>
        <v>3386.7000000000025</v>
      </c>
      <c r="E38" s="20">
        <f t="shared" si="1"/>
        <v>144.9259789875836</v>
      </c>
      <c r="F38" s="9">
        <f>J38+Z38</f>
        <v>4079</v>
      </c>
      <c r="G38" s="10">
        <f>K38+AA38</f>
        <v>6167.200000000001</v>
      </c>
      <c r="H38" s="10">
        <f>G38-F38</f>
        <v>2088.2000000000007</v>
      </c>
      <c r="I38" s="259" t="s">
        <v>27</v>
      </c>
      <c r="J38" s="24">
        <f t="shared" si="45"/>
        <v>1002</v>
      </c>
      <c r="K38" s="468">
        <f t="shared" si="46"/>
        <v>2951.1</v>
      </c>
      <c r="L38" s="468">
        <f>K38-J38</f>
        <v>1949.1</v>
      </c>
      <c r="M38" s="335" t="s">
        <v>117</v>
      </c>
      <c r="N38" s="62">
        <v>282.2</v>
      </c>
      <c r="O38" s="61">
        <v>1618.5</v>
      </c>
      <c r="P38" s="7">
        <f t="shared" si="53"/>
        <v>1336.3</v>
      </c>
      <c r="Q38" s="7" t="s">
        <v>27</v>
      </c>
      <c r="R38" s="61">
        <v>208.6</v>
      </c>
      <c r="S38" s="61">
        <v>561</v>
      </c>
      <c r="T38" s="7">
        <f t="shared" si="9"/>
        <v>352.4</v>
      </c>
      <c r="U38" s="7">
        <f t="shared" si="39"/>
        <v>268.93576222435286</v>
      </c>
      <c r="V38" s="61">
        <v>511.2</v>
      </c>
      <c r="W38" s="61">
        <f>764.6+7</f>
        <v>771.6</v>
      </c>
      <c r="X38" s="7">
        <f t="shared" si="10"/>
        <v>260.40000000000003</v>
      </c>
      <c r="Y38" s="7">
        <f>W38/V38%</f>
        <v>150.93896713615024</v>
      </c>
      <c r="Z38" s="468">
        <f t="shared" si="40"/>
        <v>3077</v>
      </c>
      <c r="AA38" s="468">
        <f t="shared" si="28"/>
        <v>3216.1000000000004</v>
      </c>
      <c r="AB38" s="468">
        <f t="shared" si="29"/>
        <v>139.10000000000036</v>
      </c>
      <c r="AC38" s="468" t="s">
        <v>27</v>
      </c>
      <c r="AD38" s="61">
        <v>442.7</v>
      </c>
      <c r="AE38" s="61">
        <v>1817.2</v>
      </c>
      <c r="AF38" s="7">
        <f t="shared" si="30"/>
        <v>1374.5</v>
      </c>
      <c r="AG38" s="7" t="s">
        <v>27</v>
      </c>
      <c r="AH38" s="61">
        <v>562.9</v>
      </c>
      <c r="AI38" s="61">
        <v>711.1</v>
      </c>
      <c r="AJ38" s="7">
        <f t="shared" si="12"/>
        <v>148.20000000000005</v>
      </c>
      <c r="AK38" s="32">
        <f t="shared" si="42"/>
        <v>126.32794457274828</v>
      </c>
      <c r="AL38" s="344">
        <f>571.4+1500</f>
        <v>2071.4</v>
      </c>
      <c r="AM38" s="61">
        <v>687.8</v>
      </c>
      <c r="AN38" s="7">
        <f t="shared" si="13"/>
        <v>-1383.6000000000001</v>
      </c>
      <c r="AO38" s="7">
        <f>AM38/AL38%</f>
        <v>33.204595925461035</v>
      </c>
      <c r="AP38" s="14">
        <f t="shared" si="68"/>
        <v>5164.3</v>
      </c>
      <c r="AQ38" s="15">
        <f>K38+AA38+AU38</f>
        <v>8256.400000000001</v>
      </c>
      <c r="AR38" s="15">
        <f>AQ38-AP38</f>
        <v>3092.1000000000013</v>
      </c>
      <c r="AS38" s="16" t="s">
        <v>27</v>
      </c>
      <c r="AT38" s="24">
        <f t="shared" si="52"/>
        <v>1085.3</v>
      </c>
      <c r="AU38" s="468">
        <f t="shared" si="61"/>
        <v>2089.2</v>
      </c>
      <c r="AV38" s="468">
        <f t="shared" si="43"/>
        <v>1003.8999999999999</v>
      </c>
      <c r="AW38" s="469" t="s">
        <v>27</v>
      </c>
      <c r="AX38" s="345">
        <f>590-109.4</f>
        <v>480.6</v>
      </c>
      <c r="AY38" s="61">
        <v>709.3</v>
      </c>
      <c r="AZ38" s="7">
        <f t="shared" si="49"/>
        <v>228.69999999999993</v>
      </c>
      <c r="BA38" s="19">
        <f t="shared" si="63"/>
        <v>147.58635039533914</v>
      </c>
      <c r="BB38" s="350">
        <f>666.7-240.1</f>
        <v>426.6</v>
      </c>
      <c r="BC38" s="71">
        <v>882.3</v>
      </c>
      <c r="BD38" s="83">
        <f>BC38-BB38</f>
        <v>455.69999999999993</v>
      </c>
      <c r="BE38" s="18" t="s">
        <v>27</v>
      </c>
      <c r="BF38" s="351">
        <f>395.4-217.3</f>
        <v>178.09999999999997</v>
      </c>
      <c r="BG38" s="71">
        <v>497.6</v>
      </c>
      <c r="BH38" s="72">
        <f>BG38-BF38</f>
        <v>319.50000000000006</v>
      </c>
      <c r="BI38" s="49" t="s">
        <v>27</v>
      </c>
      <c r="BJ38" s="26">
        <f t="shared" si="34"/>
        <v>2374.1</v>
      </c>
      <c r="BK38" s="468">
        <f t="shared" si="35"/>
        <v>2668.7</v>
      </c>
      <c r="BL38" s="468">
        <f>BK38-BJ38</f>
        <v>294.5999999999999</v>
      </c>
      <c r="BM38" s="469">
        <f>BK38/BJ38%</f>
        <v>112.4089128511857</v>
      </c>
      <c r="BN38" s="345">
        <f>612.8-378.5+335</f>
        <v>569.3</v>
      </c>
      <c r="BO38" s="61">
        <v>662.2</v>
      </c>
      <c r="BP38" s="7">
        <f t="shared" si="58"/>
        <v>92.90000000000009</v>
      </c>
      <c r="BQ38" s="44" t="s">
        <v>27</v>
      </c>
      <c r="BR38" s="344">
        <f>270.7-19.4+500</f>
        <v>751.3</v>
      </c>
      <c r="BS38" s="61">
        <v>854.9</v>
      </c>
      <c r="BT38" s="7">
        <f t="shared" si="67"/>
        <v>103.60000000000002</v>
      </c>
      <c r="BU38" s="32" t="s">
        <v>27</v>
      </c>
      <c r="BV38" s="346">
        <f>1088.8-535.3+500</f>
        <v>1053.5</v>
      </c>
      <c r="BW38" s="61">
        <v>1151.6</v>
      </c>
      <c r="BX38" s="7">
        <f t="shared" si="59"/>
        <v>98.09999999999991</v>
      </c>
      <c r="BY38" s="7">
        <f>BW38/BV38%</f>
        <v>109.31181775035594</v>
      </c>
    </row>
    <row r="39" spans="1:77" s="98" customFormat="1" ht="24" customHeight="1" thickBot="1">
      <c r="A39" s="261" t="s">
        <v>46</v>
      </c>
      <c r="B39" s="73">
        <f t="shared" si="69"/>
        <v>0</v>
      </c>
      <c r="C39" s="74">
        <f t="shared" si="69"/>
        <v>0</v>
      </c>
      <c r="D39" s="75">
        <f t="shared" si="0"/>
        <v>0</v>
      </c>
      <c r="E39" s="76"/>
      <c r="F39" s="77">
        <f>J39+Z39</f>
        <v>0</v>
      </c>
      <c r="G39" s="78">
        <f>K39+AA39</f>
        <v>0</v>
      </c>
      <c r="H39" s="78">
        <f>G39-F39</f>
        <v>0</v>
      </c>
      <c r="I39" s="79"/>
      <c r="J39" s="80">
        <f t="shared" si="45"/>
        <v>0</v>
      </c>
      <c r="K39" s="81">
        <f t="shared" si="46"/>
        <v>0</v>
      </c>
      <c r="L39" s="81">
        <f>K39-J39</f>
        <v>0</v>
      </c>
      <c r="M39" s="97"/>
      <c r="N39" s="82"/>
      <c r="O39" s="71"/>
      <c r="P39" s="83">
        <f>O39-N39</f>
        <v>0</v>
      </c>
      <c r="Q39" s="262"/>
      <c r="R39" s="71"/>
      <c r="S39" s="71"/>
      <c r="T39" s="83">
        <f>S39-R39</f>
        <v>0</v>
      </c>
      <c r="U39" s="7"/>
      <c r="V39" s="71"/>
      <c r="W39" s="71"/>
      <c r="X39" s="72">
        <f>W39-V39</f>
        <v>0</v>
      </c>
      <c r="Y39" s="72"/>
      <c r="Z39" s="81">
        <f t="shared" si="40"/>
        <v>0</v>
      </c>
      <c r="AA39" s="81">
        <f t="shared" si="28"/>
        <v>0</v>
      </c>
      <c r="AB39" s="81">
        <f t="shared" si="29"/>
        <v>0</v>
      </c>
      <c r="AC39" s="81"/>
      <c r="AD39" s="71"/>
      <c r="AE39" s="71"/>
      <c r="AF39" s="83">
        <f>AE39-AD39</f>
        <v>0</v>
      </c>
      <c r="AG39" s="72"/>
      <c r="AH39" s="71"/>
      <c r="AI39" s="71"/>
      <c r="AJ39" s="83">
        <f>AI39-AH39</f>
        <v>0</v>
      </c>
      <c r="AK39" s="7"/>
      <c r="AL39" s="61"/>
      <c r="AM39" s="61"/>
      <c r="AN39" s="7">
        <f>AM39-AL39</f>
        <v>0</v>
      </c>
      <c r="AO39" s="32"/>
      <c r="AP39" s="84">
        <f t="shared" si="68"/>
        <v>0</v>
      </c>
      <c r="AQ39" s="85">
        <f>K39+AA39+AU39</f>
        <v>0</v>
      </c>
      <c r="AR39" s="85">
        <f>AQ39-AP39</f>
        <v>0</v>
      </c>
      <c r="AS39" s="86"/>
      <c r="AT39" s="87">
        <f t="shared" si="52"/>
        <v>0</v>
      </c>
      <c r="AU39" s="88">
        <f t="shared" si="61"/>
        <v>0</v>
      </c>
      <c r="AV39" s="88">
        <f t="shared" si="43"/>
        <v>0</v>
      </c>
      <c r="AW39" s="89"/>
      <c r="AX39" s="90"/>
      <c r="AY39" s="91"/>
      <c r="AZ39" s="92">
        <f>AY39-AX39</f>
        <v>0</v>
      </c>
      <c r="BA39" s="93"/>
      <c r="BB39" s="90"/>
      <c r="BC39" s="91"/>
      <c r="BD39" s="92">
        <f>BC39-BB39</f>
        <v>0</v>
      </c>
      <c r="BE39" s="94"/>
      <c r="BF39" s="70"/>
      <c r="BG39" s="91"/>
      <c r="BH39" s="83">
        <f>BG39-BF39</f>
        <v>0</v>
      </c>
      <c r="BI39" s="95"/>
      <c r="BJ39" s="96">
        <f t="shared" si="34"/>
        <v>0</v>
      </c>
      <c r="BK39" s="81">
        <f t="shared" si="35"/>
        <v>0</v>
      </c>
      <c r="BL39" s="81">
        <f>BK39-BJ39</f>
        <v>0</v>
      </c>
      <c r="BM39" s="97"/>
      <c r="BN39" s="70"/>
      <c r="BO39" s="71"/>
      <c r="BP39" s="83">
        <f t="shared" si="58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59"/>
        <v>0</v>
      </c>
      <c r="BY39" s="32"/>
    </row>
    <row r="40" spans="1:69" ht="20.25">
      <c r="A40" s="263"/>
      <c r="B40" s="264"/>
      <c r="C40" s="265"/>
      <c r="D40" s="264"/>
      <c r="E40" s="264"/>
      <c r="F40" s="264"/>
      <c r="G40" s="264"/>
      <c r="H40" s="264"/>
      <c r="I40" s="264"/>
      <c r="J40" s="264"/>
      <c r="K40" s="264"/>
      <c r="L40" s="264"/>
      <c r="M40" s="266"/>
      <c r="N40" s="267"/>
      <c r="O40" s="267"/>
      <c r="P40" s="267"/>
      <c r="Q40" s="268"/>
      <c r="R40" s="267"/>
      <c r="S40" s="267"/>
      <c r="T40" s="267"/>
      <c r="U40" s="269"/>
      <c r="V40" s="267"/>
      <c r="W40" s="267" t="s">
        <v>106</v>
      </c>
      <c r="X40" s="267"/>
      <c r="Y40" s="270"/>
      <c r="Z40" s="264"/>
      <c r="AA40" s="264"/>
      <c r="AB40" s="264"/>
      <c r="AC40" s="264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4"/>
      <c r="AU40" s="264"/>
      <c r="AV40" s="264"/>
      <c r="AW40" s="271"/>
      <c r="AX40" s="265"/>
      <c r="AY40" s="265"/>
      <c r="AZ40" s="265"/>
      <c r="BA40" s="265"/>
      <c r="BB40" s="265"/>
      <c r="BC40" s="265" t="s">
        <v>106</v>
      </c>
      <c r="BD40" s="265"/>
      <c r="BE40" s="265"/>
      <c r="BF40" s="265"/>
      <c r="BG40" s="265"/>
      <c r="BH40" s="265"/>
      <c r="BI40" s="265"/>
      <c r="BJ40" s="265"/>
      <c r="BK40" s="264"/>
      <c r="BL40" s="264"/>
      <c r="BM40" s="264"/>
      <c r="BN40" s="265"/>
      <c r="BO40" s="265"/>
      <c r="BP40" s="265"/>
      <c r="BQ40" s="265"/>
    </row>
    <row r="41" spans="2:69" ht="20.25">
      <c r="B41" s="264"/>
      <c r="C41" s="265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265"/>
      <c r="P41" s="265"/>
      <c r="R41" s="265"/>
      <c r="S41" s="265"/>
      <c r="T41" s="265"/>
      <c r="V41" s="265"/>
      <c r="W41" s="265"/>
      <c r="X41" s="265"/>
      <c r="Z41" s="264"/>
      <c r="AA41" s="264"/>
      <c r="AB41" s="264"/>
      <c r="AC41" s="264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4"/>
      <c r="AU41" s="264"/>
      <c r="AV41" s="264"/>
      <c r="AW41" s="271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4"/>
      <c r="BL41" s="264"/>
      <c r="BM41" s="264"/>
      <c r="BN41" s="265"/>
      <c r="BO41" s="265"/>
      <c r="BP41" s="265"/>
      <c r="BQ41" s="265"/>
    </row>
    <row r="42" spans="2:69" ht="20.25">
      <c r="B42" s="264"/>
      <c r="C42" s="272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5"/>
      <c r="P42" s="265"/>
      <c r="R42" s="265"/>
      <c r="S42" s="265"/>
      <c r="T42" s="265"/>
      <c r="V42" s="265"/>
      <c r="W42" s="265"/>
      <c r="X42" s="265"/>
      <c r="Z42" s="264"/>
      <c r="AA42" s="264"/>
      <c r="AB42" s="264"/>
      <c r="AC42" s="264"/>
      <c r="AD42" s="265"/>
      <c r="AE42" s="273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4"/>
      <c r="AU42" s="264"/>
      <c r="AV42" s="264"/>
      <c r="AW42" s="271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4"/>
      <c r="BL42" s="264"/>
      <c r="BM42" s="264"/>
      <c r="BN42" s="265"/>
      <c r="BO42" s="265"/>
      <c r="BP42" s="265"/>
      <c r="BQ42" s="265"/>
    </row>
    <row r="43" spans="2:69" ht="20.25">
      <c r="B43" s="264"/>
      <c r="C43" s="272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5"/>
      <c r="P43" s="265"/>
      <c r="R43" s="265"/>
      <c r="S43" s="265"/>
      <c r="T43" s="265"/>
      <c r="V43" s="265"/>
      <c r="W43" s="265"/>
      <c r="X43" s="265"/>
      <c r="Z43" s="264"/>
      <c r="AA43" s="264"/>
      <c r="AB43" s="264"/>
      <c r="AC43" s="264"/>
      <c r="AD43" s="265"/>
      <c r="AE43" s="273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4"/>
      <c r="AU43" s="264"/>
      <c r="AV43" s="264"/>
      <c r="AW43" s="271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4"/>
      <c r="BL43" s="264"/>
      <c r="BM43" s="264"/>
      <c r="BN43" s="265"/>
      <c r="BO43" s="265"/>
      <c r="BP43" s="265"/>
      <c r="BQ43" s="265"/>
    </row>
    <row r="44" spans="2:69" ht="20.25">
      <c r="B44" s="264"/>
      <c r="C44" s="272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  <c r="O44" s="265"/>
      <c r="P44" s="265"/>
      <c r="R44" s="265"/>
      <c r="S44" s="265"/>
      <c r="T44" s="265"/>
      <c r="V44" s="265"/>
      <c r="W44" s="265"/>
      <c r="X44" s="265"/>
      <c r="Z44" s="264"/>
      <c r="AA44" s="264"/>
      <c r="AB44" s="264"/>
      <c r="AC44" s="264"/>
      <c r="AD44" s="265"/>
      <c r="AE44" s="273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4"/>
      <c r="AU44" s="264"/>
      <c r="AV44" s="264"/>
      <c r="AW44" s="271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4"/>
      <c r="BL44" s="264"/>
      <c r="BM44" s="264"/>
      <c r="BN44" s="265"/>
      <c r="BO44" s="265"/>
      <c r="BP44" s="265"/>
      <c r="BQ44" s="265"/>
    </row>
    <row r="45" spans="2:69" ht="20.25">
      <c r="B45" s="264"/>
      <c r="C45" s="265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  <c r="O45" s="265"/>
      <c r="P45" s="265"/>
      <c r="R45" s="265"/>
      <c r="S45" s="265"/>
      <c r="T45" s="265"/>
      <c r="V45" s="265"/>
      <c r="W45" s="265"/>
      <c r="X45" s="265"/>
      <c r="Z45" s="264"/>
      <c r="AA45" s="264"/>
      <c r="AB45" s="264"/>
      <c r="AC45" s="264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4"/>
      <c r="AU45" s="264"/>
      <c r="AV45" s="264"/>
      <c r="AW45" s="271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4"/>
      <c r="BL45" s="264"/>
      <c r="BM45" s="264"/>
      <c r="BN45" s="265"/>
      <c r="BO45" s="265"/>
      <c r="BP45" s="265"/>
      <c r="BQ45" s="265"/>
    </row>
    <row r="46" spans="2:69" ht="20.25">
      <c r="B46" s="264"/>
      <c r="C46" s="265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5"/>
      <c r="O46" s="265"/>
      <c r="P46" s="265"/>
      <c r="R46" s="265"/>
      <c r="S46" s="265"/>
      <c r="T46" s="265"/>
      <c r="V46" s="265"/>
      <c r="W46" s="265"/>
      <c r="X46" s="265"/>
      <c r="Z46" s="264"/>
      <c r="AA46" s="264"/>
      <c r="AB46" s="264"/>
      <c r="AC46" s="264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4"/>
      <c r="AU46" s="264"/>
      <c r="AV46" s="264"/>
      <c r="AW46" s="271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4"/>
      <c r="BL46" s="264"/>
      <c r="BM46" s="264"/>
      <c r="BN46" s="265"/>
      <c r="BO46" s="265"/>
      <c r="BP46" s="265"/>
      <c r="BQ46" s="265"/>
    </row>
    <row r="47" spans="2:69" ht="20.25">
      <c r="B47" s="264"/>
      <c r="C47" s="265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5"/>
      <c r="O47" s="265"/>
      <c r="P47" s="265"/>
      <c r="R47" s="265"/>
      <c r="S47" s="265"/>
      <c r="T47" s="265"/>
      <c r="V47" s="265"/>
      <c r="W47" s="265"/>
      <c r="X47" s="265"/>
      <c r="Z47" s="264"/>
      <c r="AA47" s="264"/>
      <c r="AB47" s="264"/>
      <c r="AC47" s="264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4"/>
      <c r="AU47" s="264"/>
      <c r="AV47" s="264"/>
      <c r="AW47" s="271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4"/>
      <c r="BL47" s="264"/>
      <c r="BM47" s="264"/>
      <c r="BN47" s="265"/>
      <c r="BO47" s="265"/>
      <c r="BP47" s="265"/>
      <c r="BQ47" s="265"/>
    </row>
    <row r="48" spans="2:69" ht="20.25">
      <c r="B48" s="264"/>
      <c r="C48" s="265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5"/>
      <c r="O48" s="265"/>
      <c r="P48" s="265"/>
      <c r="R48" s="265"/>
      <c r="S48" s="265"/>
      <c r="T48" s="265"/>
      <c r="V48" s="265"/>
      <c r="W48" s="265"/>
      <c r="X48" s="265"/>
      <c r="Z48" s="264"/>
      <c r="AA48" s="264"/>
      <c r="AB48" s="264"/>
      <c r="AC48" s="264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4"/>
      <c r="AU48" s="264"/>
      <c r="AV48" s="264"/>
      <c r="AW48" s="271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4"/>
      <c r="BL48" s="264"/>
      <c r="BM48" s="264"/>
      <c r="BN48" s="265"/>
      <c r="BO48" s="265"/>
      <c r="BP48" s="265"/>
      <c r="BQ48" s="265"/>
    </row>
    <row r="49" spans="2:69" ht="20.25">
      <c r="B49" s="264"/>
      <c r="C49" s="265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5"/>
      <c r="O49" s="265"/>
      <c r="P49" s="265"/>
      <c r="R49" s="265"/>
      <c r="S49" s="265"/>
      <c r="T49" s="265"/>
      <c r="V49" s="265"/>
      <c r="W49" s="265"/>
      <c r="X49" s="265"/>
      <c r="Z49" s="264"/>
      <c r="AA49" s="264"/>
      <c r="AB49" s="264"/>
      <c r="AC49" s="264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4"/>
      <c r="AU49" s="264"/>
      <c r="AV49" s="264"/>
      <c r="AW49" s="271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4"/>
      <c r="BL49" s="264"/>
      <c r="BM49" s="264"/>
      <c r="BN49" s="265"/>
      <c r="BO49" s="265"/>
      <c r="BP49" s="265"/>
      <c r="BQ49" s="265"/>
    </row>
    <row r="50" spans="2:69" ht="20.25">
      <c r="B50" s="264"/>
      <c r="C50" s="265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5"/>
      <c r="O50" s="265"/>
      <c r="P50" s="265"/>
      <c r="R50" s="265"/>
      <c r="S50" s="265"/>
      <c r="T50" s="265"/>
      <c r="V50" s="265"/>
      <c r="W50" s="265"/>
      <c r="X50" s="265"/>
      <c r="Z50" s="264"/>
      <c r="AA50" s="264"/>
      <c r="AB50" s="264"/>
      <c r="AC50" s="264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4"/>
      <c r="AU50" s="264"/>
      <c r="AV50" s="264"/>
      <c r="AW50" s="271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4"/>
      <c r="BL50" s="264"/>
      <c r="BM50" s="264"/>
      <c r="BN50" s="265"/>
      <c r="BO50" s="265"/>
      <c r="BP50" s="265"/>
      <c r="BQ50" s="265"/>
    </row>
    <row r="51" spans="2:69" ht="20.25">
      <c r="B51" s="264"/>
      <c r="C51" s="265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5"/>
      <c r="O51" s="265"/>
      <c r="P51" s="265"/>
      <c r="R51" s="265"/>
      <c r="S51" s="265"/>
      <c r="T51" s="265"/>
      <c r="V51" s="265"/>
      <c r="W51" s="265"/>
      <c r="X51" s="265"/>
      <c r="Z51" s="264"/>
      <c r="AA51" s="264"/>
      <c r="AB51" s="264"/>
      <c r="AC51" s="264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4"/>
      <c r="AU51" s="264"/>
      <c r="AV51" s="264"/>
      <c r="AW51" s="271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4"/>
      <c r="BL51" s="264"/>
      <c r="BM51" s="264"/>
      <c r="BN51" s="265"/>
      <c r="BO51" s="265"/>
      <c r="BP51" s="265"/>
      <c r="BQ51" s="265"/>
    </row>
    <row r="52" spans="2:69" ht="20.25">
      <c r="B52" s="264"/>
      <c r="C52" s="265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5"/>
      <c r="O52" s="265"/>
      <c r="P52" s="265"/>
      <c r="R52" s="265"/>
      <c r="S52" s="265"/>
      <c r="T52" s="265"/>
      <c r="V52" s="265"/>
      <c r="W52" s="265"/>
      <c r="X52" s="265"/>
      <c r="Z52" s="264"/>
      <c r="AA52" s="264"/>
      <c r="AB52" s="264"/>
      <c r="AC52" s="264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4"/>
      <c r="AU52" s="264"/>
      <c r="AV52" s="264"/>
      <c r="AW52" s="271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4"/>
      <c r="BL52" s="264"/>
      <c r="BM52" s="264"/>
      <c r="BN52" s="265"/>
      <c r="BO52" s="265"/>
      <c r="BP52" s="265"/>
      <c r="BQ52" s="265"/>
    </row>
    <row r="53" spans="2:69" ht="20.25">
      <c r="B53" s="264"/>
      <c r="C53" s="265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5"/>
      <c r="O53" s="265"/>
      <c r="P53" s="265"/>
      <c r="R53" s="265"/>
      <c r="S53" s="265"/>
      <c r="T53" s="265"/>
      <c r="V53" s="265"/>
      <c r="W53" s="265"/>
      <c r="X53" s="265"/>
      <c r="Z53" s="264"/>
      <c r="AA53" s="264"/>
      <c r="AB53" s="264"/>
      <c r="AC53" s="264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4"/>
      <c r="AU53" s="264"/>
      <c r="AV53" s="264"/>
      <c r="AW53" s="271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4"/>
      <c r="BL53" s="264"/>
      <c r="BM53" s="264"/>
      <c r="BN53" s="265"/>
      <c r="BO53" s="265"/>
      <c r="BP53" s="265"/>
      <c r="BQ53" s="265"/>
    </row>
    <row r="54" spans="1:69" s="1" customFormat="1" ht="20.25">
      <c r="A54" s="99"/>
      <c r="B54" s="264"/>
      <c r="C54" s="265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5"/>
      <c r="O54" s="265"/>
      <c r="P54" s="265"/>
      <c r="Q54" s="225"/>
      <c r="R54" s="265"/>
      <c r="S54" s="265"/>
      <c r="T54" s="265"/>
      <c r="V54" s="265"/>
      <c r="W54" s="265"/>
      <c r="X54" s="265"/>
      <c r="Y54" s="2"/>
      <c r="Z54" s="264"/>
      <c r="AA54" s="264"/>
      <c r="AB54" s="264"/>
      <c r="AC54" s="264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4"/>
      <c r="AU54" s="264"/>
      <c r="AV54" s="264"/>
      <c r="AW54" s="271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4"/>
      <c r="BL54" s="264"/>
      <c r="BM54" s="264"/>
      <c r="BN54" s="265"/>
      <c r="BO54" s="265"/>
      <c r="BP54" s="265"/>
      <c r="BQ54" s="265"/>
    </row>
    <row r="55" spans="1:69" s="1" customFormat="1" ht="20.25">
      <c r="A55" s="99"/>
      <c r="B55" s="264"/>
      <c r="C55" s="265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5"/>
      <c r="O55" s="265"/>
      <c r="P55" s="265"/>
      <c r="Q55" s="225"/>
      <c r="R55" s="265"/>
      <c r="S55" s="265"/>
      <c r="T55" s="265"/>
      <c r="V55" s="265"/>
      <c r="W55" s="265"/>
      <c r="X55" s="265"/>
      <c r="Y55" s="2"/>
      <c r="Z55" s="264"/>
      <c r="AA55" s="264"/>
      <c r="AB55" s="264"/>
      <c r="AC55" s="264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4"/>
      <c r="AU55" s="264"/>
      <c r="AV55" s="264"/>
      <c r="AW55" s="271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4"/>
      <c r="BL55" s="264"/>
      <c r="BM55" s="264"/>
      <c r="BN55" s="265"/>
      <c r="BO55" s="265"/>
      <c r="BP55" s="265"/>
      <c r="BQ55" s="265"/>
    </row>
    <row r="56" spans="1:69" s="1" customFormat="1" ht="20.25">
      <c r="A56" s="99"/>
      <c r="B56" s="264"/>
      <c r="C56" s="265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5"/>
      <c r="O56" s="265"/>
      <c r="P56" s="265"/>
      <c r="Q56" s="225"/>
      <c r="R56" s="265"/>
      <c r="S56" s="265"/>
      <c r="T56" s="265"/>
      <c r="V56" s="265"/>
      <c r="W56" s="265"/>
      <c r="X56" s="265"/>
      <c r="Y56" s="2"/>
      <c r="Z56" s="264"/>
      <c r="AA56" s="264"/>
      <c r="AB56" s="264"/>
      <c r="AC56" s="264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4"/>
      <c r="AU56" s="264"/>
      <c r="AV56" s="264"/>
      <c r="AW56" s="271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4"/>
      <c r="BL56" s="264"/>
      <c r="BM56" s="264"/>
      <c r="BN56" s="265"/>
      <c r="BO56" s="265"/>
      <c r="BP56" s="265"/>
      <c r="BQ56" s="265"/>
    </row>
    <row r="57" spans="1:69" s="1" customFormat="1" ht="20.25">
      <c r="A57" s="99"/>
      <c r="B57" s="264"/>
      <c r="C57" s="265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5"/>
      <c r="O57" s="265"/>
      <c r="P57" s="265"/>
      <c r="Q57" s="225"/>
      <c r="R57" s="265"/>
      <c r="S57" s="265"/>
      <c r="T57" s="265"/>
      <c r="V57" s="265"/>
      <c r="W57" s="265"/>
      <c r="X57" s="265"/>
      <c r="Y57" s="2"/>
      <c r="Z57" s="264"/>
      <c r="AA57" s="264"/>
      <c r="AB57" s="264"/>
      <c r="AC57" s="264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4"/>
      <c r="AU57" s="264"/>
      <c r="AV57" s="264"/>
      <c r="AW57" s="271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4"/>
      <c r="BL57" s="264"/>
      <c r="BM57" s="264"/>
      <c r="BN57" s="265"/>
      <c r="BO57" s="265"/>
      <c r="BP57" s="265"/>
      <c r="BQ57" s="265"/>
    </row>
    <row r="58" spans="1:69" s="1" customFormat="1" ht="20.25">
      <c r="A58" s="99"/>
      <c r="B58" s="264"/>
      <c r="C58" s="265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265"/>
      <c r="P58" s="265"/>
      <c r="Q58" s="225"/>
      <c r="R58" s="265"/>
      <c r="S58" s="265"/>
      <c r="T58" s="265"/>
      <c r="V58" s="265"/>
      <c r="W58" s="265"/>
      <c r="X58" s="265"/>
      <c r="Y58" s="2"/>
      <c r="Z58" s="264"/>
      <c r="AA58" s="264"/>
      <c r="AB58" s="264"/>
      <c r="AC58" s="264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4"/>
      <c r="AU58" s="264"/>
      <c r="AV58" s="264"/>
      <c r="AW58" s="271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4"/>
      <c r="BL58" s="264"/>
      <c r="BM58" s="264"/>
      <c r="BN58" s="265"/>
      <c r="BO58" s="265"/>
      <c r="BP58" s="265"/>
      <c r="BQ58" s="265"/>
    </row>
    <row r="59" spans="1:69" s="1" customFormat="1" ht="20.25">
      <c r="A59" s="99"/>
      <c r="B59" s="264"/>
      <c r="C59" s="265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5"/>
      <c r="O59" s="265"/>
      <c r="P59" s="265"/>
      <c r="Q59" s="225"/>
      <c r="R59" s="265"/>
      <c r="S59" s="265"/>
      <c r="T59" s="265"/>
      <c r="V59" s="265"/>
      <c r="W59" s="265"/>
      <c r="X59" s="265"/>
      <c r="Y59" s="2"/>
      <c r="Z59" s="264"/>
      <c r="AA59" s="264"/>
      <c r="AB59" s="264"/>
      <c r="AC59" s="264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4"/>
      <c r="AU59" s="264"/>
      <c r="AV59" s="264"/>
      <c r="AW59" s="271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4"/>
      <c r="BL59" s="264"/>
      <c r="BM59" s="264"/>
      <c r="BN59" s="265"/>
      <c r="BO59" s="265"/>
      <c r="BP59" s="265"/>
      <c r="BQ59" s="265"/>
    </row>
    <row r="60" spans="1:69" s="1" customFormat="1" ht="20.25">
      <c r="A60" s="99"/>
      <c r="B60" s="264"/>
      <c r="C60" s="265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5"/>
      <c r="O60" s="265"/>
      <c r="P60" s="265"/>
      <c r="Q60" s="225"/>
      <c r="R60" s="265"/>
      <c r="S60" s="265"/>
      <c r="T60" s="265"/>
      <c r="V60" s="265"/>
      <c r="W60" s="265"/>
      <c r="X60" s="265"/>
      <c r="Y60" s="2"/>
      <c r="Z60" s="264"/>
      <c r="AA60" s="264"/>
      <c r="AB60" s="264"/>
      <c r="AC60" s="264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4"/>
      <c r="AU60" s="264"/>
      <c r="AV60" s="264"/>
      <c r="AW60" s="271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4"/>
      <c r="BL60" s="264"/>
      <c r="BM60" s="264"/>
      <c r="BN60" s="265"/>
      <c r="BO60" s="265"/>
      <c r="BP60" s="265"/>
      <c r="BQ60" s="265"/>
    </row>
  </sheetData>
  <sheetProtection/>
  <mergeCells count="78">
    <mergeCell ref="A1:E1"/>
    <mergeCell ref="AT3:AT4"/>
    <mergeCell ref="BW3:BW4"/>
    <mergeCell ref="BX3:BY3"/>
    <mergeCell ref="BO3:BO4"/>
    <mergeCell ref="BP3:BQ3"/>
    <mergeCell ref="BR3:BR4"/>
    <mergeCell ref="BS3:BS4"/>
    <mergeCell ref="BT3:BU3"/>
    <mergeCell ref="BV3:BV4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R2:U2"/>
    <mergeCell ref="L3:M3"/>
    <mergeCell ref="N3:N4"/>
    <mergeCell ref="O3:O4"/>
    <mergeCell ref="P3:Q3"/>
    <mergeCell ref="V2:Y2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M35" sqref="AM35:AN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0.00390625" style="0" customWidth="1"/>
    <col min="8" max="8" width="9.375" style="0" customWidth="1"/>
    <col min="9" max="10" width="9.25390625" style="0" customWidth="1"/>
    <col min="11" max="11" width="10.00390625" style="0" customWidth="1"/>
    <col min="12" max="12" width="9.25390625" style="0" customWidth="1"/>
    <col min="13" max="13" width="9.75390625" style="0" customWidth="1"/>
    <col min="14" max="14" width="9.25390625" style="0" customWidth="1"/>
    <col min="15" max="15" width="10.00390625" style="0" customWidth="1"/>
    <col min="16" max="16" width="9.125" style="0" customWidth="1"/>
    <col min="17" max="17" width="10.00390625" style="0" customWidth="1"/>
    <col min="18" max="18" width="9.125" style="0" customWidth="1"/>
    <col min="19" max="20" width="10.00390625" style="0" customWidth="1"/>
    <col min="21" max="21" width="10.875" style="0" customWidth="1"/>
    <col min="22" max="22" width="9.25390625" style="0" customWidth="1"/>
    <col min="23" max="23" width="9.00390625" style="0" customWidth="1"/>
    <col min="24" max="24" width="8.75390625" style="0" customWidth="1"/>
    <col min="25" max="25" width="11.25390625" style="0" customWidth="1"/>
    <col min="26" max="26" width="9.75390625" style="0" customWidth="1"/>
    <col min="27" max="27" width="10.00390625" style="0" customWidth="1"/>
    <col min="28" max="28" width="9.625" style="0" customWidth="1"/>
    <col min="29" max="29" width="9.875" style="0" customWidth="1"/>
    <col min="30" max="30" width="10.25390625" style="0" customWidth="1"/>
    <col min="31" max="31" width="10.00390625" style="0" customWidth="1"/>
    <col min="32" max="33" width="9.25390625" style="0" customWidth="1"/>
    <col min="34" max="34" width="10.875" style="0" customWidth="1"/>
    <col min="35" max="35" width="10.00390625" style="0" customWidth="1"/>
    <col min="36" max="38" width="9.25390625" style="0" customWidth="1"/>
    <col min="39" max="39" width="10.00390625" style="0" customWidth="1"/>
    <col min="40" max="41" width="9.25390625" style="0" customWidth="1"/>
    <col min="42" max="42" width="11.375" style="0" customWidth="1"/>
    <col min="43" max="43" width="10.00390625" style="0" customWidth="1"/>
    <col min="44" max="46" width="9.25390625" style="0" customWidth="1"/>
    <col min="47" max="47" width="10.00390625" style="0" customWidth="1"/>
    <col min="48" max="48" width="9.25390625" style="0" bestFit="1" customWidth="1"/>
    <col min="49" max="49" width="8.875" style="0" customWidth="1"/>
    <col min="50" max="50" width="8.625" style="0" customWidth="1"/>
    <col min="51" max="51" width="10.375" style="0" hidden="1" customWidth="1"/>
    <col min="52" max="52" width="10.00390625" style="0" customWidth="1"/>
    <col min="53" max="53" width="11.375" style="0" customWidth="1"/>
    <col min="54" max="54" width="11.125" style="0" customWidth="1"/>
    <col min="55" max="55" width="9.00390625" style="0" customWidth="1"/>
  </cols>
  <sheetData>
    <row r="1" ht="15.75" hidden="1">
      <c r="A1" t="s">
        <v>47</v>
      </c>
    </row>
    <row r="2" spans="2:52" ht="18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103"/>
      <c r="R2" s="103"/>
      <c r="S2" s="102"/>
      <c r="W2" s="102"/>
      <c r="AA2" s="102"/>
      <c r="AE2" s="102"/>
      <c r="AI2" s="102"/>
      <c r="AM2" s="102"/>
      <c r="AQ2" s="102"/>
      <c r="AU2" s="102"/>
      <c r="AY2" s="102"/>
      <c r="AZ2" s="102"/>
    </row>
    <row r="3" spans="4:52" ht="15.75">
      <c r="D3" s="436"/>
      <c r="E3" s="436"/>
      <c r="F3" s="436"/>
      <c r="G3" s="436"/>
      <c r="H3" s="436"/>
      <c r="I3" s="436"/>
      <c r="J3" s="436"/>
      <c r="K3" s="436"/>
      <c r="L3" s="436"/>
      <c r="M3" s="105"/>
      <c r="N3" s="105"/>
      <c r="O3" s="104"/>
      <c r="S3" s="104"/>
      <c r="W3" s="104"/>
      <c r="AA3" s="104"/>
      <c r="AE3" s="104"/>
      <c r="AI3" s="104"/>
      <c r="AM3" s="104"/>
      <c r="AQ3" s="104"/>
      <c r="AU3" s="104"/>
      <c r="AY3" s="105"/>
      <c r="AZ3" s="104"/>
    </row>
    <row r="4" spans="1:51" s="107" customFormat="1" ht="12.75" customHeight="1">
      <c r="A4" s="106" t="s">
        <v>151</v>
      </c>
      <c r="B4" s="106"/>
      <c r="E4" s="108"/>
      <c r="F4" s="108"/>
      <c r="H4" s="107" t="s">
        <v>106</v>
      </c>
      <c r="I4" s="108"/>
      <c r="J4" s="108"/>
      <c r="M4" s="108"/>
      <c r="N4" s="108"/>
      <c r="Q4" s="108"/>
      <c r="R4" s="108"/>
      <c r="U4" s="108"/>
      <c r="V4" s="108"/>
      <c r="Y4" s="108"/>
      <c r="Z4" s="108"/>
      <c r="AC4" s="108"/>
      <c r="AD4" s="108"/>
      <c r="AG4" s="108"/>
      <c r="AH4" s="108"/>
      <c r="AK4" s="108"/>
      <c r="AL4" s="108"/>
      <c r="AN4" s="109"/>
      <c r="AO4" s="109"/>
      <c r="AP4" s="109"/>
      <c r="AS4" s="108"/>
      <c r="AT4" s="108"/>
      <c r="AW4" s="108"/>
      <c r="AX4" s="108"/>
      <c r="AY4" s="108"/>
    </row>
    <row r="5" spans="1:51" s="107" customFormat="1" ht="12.75" customHeight="1" thickBot="1">
      <c r="A5" s="110"/>
      <c r="B5" s="106"/>
      <c r="E5" s="108"/>
      <c r="F5" s="108"/>
      <c r="I5" s="108"/>
      <c r="J5" s="108"/>
      <c r="M5" s="108"/>
      <c r="N5" s="108"/>
      <c r="Q5" s="108"/>
      <c r="R5" s="108"/>
      <c r="U5" s="108"/>
      <c r="V5" s="108"/>
      <c r="Y5" s="108"/>
      <c r="Z5" s="108"/>
      <c r="AC5" s="108"/>
      <c r="AD5" s="108"/>
      <c r="AG5" s="108"/>
      <c r="AH5" s="108"/>
      <c r="AK5" s="108"/>
      <c r="AL5" s="108"/>
      <c r="AN5" s="109"/>
      <c r="AO5" s="109"/>
      <c r="AP5" s="109"/>
      <c r="AS5" s="108"/>
      <c r="AT5" s="108"/>
      <c r="AW5" s="108"/>
      <c r="AX5" s="108"/>
      <c r="AY5" s="108"/>
    </row>
    <row r="6" spans="1:55" s="113" customFormat="1" ht="15" customHeight="1" thickBot="1">
      <c r="A6" s="111" t="s">
        <v>0</v>
      </c>
      <c r="B6" s="112"/>
      <c r="C6" s="471" t="s">
        <v>48</v>
      </c>
      <c r="D6" s="472"/>
      <c r="E6" s="472"/>
      <c r="F6" s="472"/>
      <c r="G6" s="471" t="s">
        <v>49</v>
      </c>
      <c r="H6" s="472"/>
      <c r="I6" s="472"/>
      <c r="J6" s="473"/>
      <c r="K6" s="471" t="s">
        <v>50</v>
      </c>
      <c r="L6" s="472"/>
      <c r="M6" s="472"/>
      <c r="N6" s="473"/>
      <c r="O6" s="471" t="s">
        <v>51</v>
      </c>
      <c r="P6" s="472"/>
      <c r="Q6" s="472"/>
      <c r="R6" s="473"/>
      <c r="S6" s="471" t="s">
        <v>52</v>
      </c>
      <c r="T6" s="472"/>
      <c r="U6" s="472"/>
      <c r="V6" s="473"/>
      <c r="W6" s="471" t="s">
        <v>53</v>
      </c>
      <c r="X6" s="472"/>
      <c r="Y6" s="472"/>
      <c r="Z6" s="473"/>
      <c r="AA6" s="471" t="s">
        <v>54</v>
      </c>
      <c r="AB6" s="472"/>
      <c r="AC6" s="472"/>
      <c r="AD6" s="473"/>
      <c r="AE6" s="471" t="s">
        <v>55</v>
      </c>
      <c r="AF6" s="472"/>
      <c r="AG6" s="472"/>
      <c r="AH6" s="473"/>
      <c r="AI6" s="471" t="s">
        <v>56</v>
      </c>
      <c r="AJ6" s="472"/>
      <c r="AK6" s="472"/>
      <c r="AL6" s="473"/>
      <c r="AM6" s="471" t="s">
        <v>57</v>
      </c>
      <c r="AN6" s="472"/>
      <c r="AO6" s="472"/>
      <c r="AP6" s="473"/>
      <c r="AQ6" s="471" t="s">
        <v>58</v>
      </c>
      <c r="AR6" s="472"/>
      <c r="AS6" s="472"/>
      <c r="AT6" s="473"/>
      <c r="AU6" s="471" t="s">
        <v>59</v>
      </c>
      <c r="AV6" s="472"/>
      <c r="AW6" s="472"/>
      <c r="AX6" s="473"/>
      <c r="AY6" s="352"/>
      <c r="AZ6" s="437" t="s">
        <v>60</v>
      </c>
      <c r="BA6" s="438"/>
      <c r="BB6" s="439"/>
      <c r="BC6" s="439"/>
    </row>
    <row r="7" spans="1:55" s="116" customFormat="1" ht="15" customHeight="1">
      <c r="A7" s="114"/>
      <c r="B7" s="115"/>
      <c r="C7" s="440" t="s">
        <v>146</v>
      </c>
      <c r="D7" s="441"/>
      <c r="E7" s="432" t="s">
        <v>18</v>
      </c>
      <c r="F7" s="433"/>
      <c r="G7" s="440" t="s">
        <v>146</v>
      </c>
      <c r="H7" s="441"/>
      <c r="I7" s="432" t="s">
        <v>18</v>
      </c>
      <c r="J7" s="433"/>
      <c r="K7" s="434" t="s">
        <v>146</v>
      </c>
      <c r="L7" s="435"/>
      <c r="M7" s="432" t="s">
        <v>18</v>
      </c>
      <c r="N7" s="433"/>
      <c r="O7" s="434" t="s">
        <v>146</v>
      </c>
      <c r="P7" s="435"/>
      <c r="Q7" s="432" t="s">
        <v>18</v>
      </c>
      <c r="R7" s="433"/>
      <c r="S7" s="434" t="s">
        <v>146</v>
      </c>
      <c r="T7" s="435"/>
      <c r="U7" s="432" t="s">
        <v>18</v>
      </c>
      <c r="V7" s="433"/>
      <c r="W7" s="434" t="s">
        <v>146</v>
      </c>
      <c r="X7" s="435"/>
      <c r="Y7" s="432" t="s">
        <v>18</v>
      </c>
      <c r="Z7" s="433"/>
      <c r="AA7" s="434" t="s">
        <v>146</v>
      </c>
      <c r="AB7" s="435"/>
      <c r="AC7" s="432" t="s">
        <v>18</v>
      </c>
      <c r="AD7" s="433"/>
      <c r="AE7" s="434" t="s">
        <v>146</v>
      </c>
      <c r="AF7" s="435"/>
      <c r="AG7" s="432" t="s">
        <v>18</v>
      </c>
      <c r="AH7" s="433"/>
      <c r="AI7" s="434" t="s">
        <v>146</v>
      </c>
      <c r="AJ7" s="435"/>
      <c r="AK7" s="432" t="s">
        <v>18</v>
      </c>
      <c r="AL7" s="433"/>
      <c r="AM7" s="434" t="s">
        <v>146</v>
      </c>
      <c r="AN7" s="435"/>
      <c r="AO7" s="432" t="s">
        <v>18</v>
      </c>
      <c r="AP7" s="433"/>
      <c r="AQ7" s="434" t="s">
        <v>146</v>
      </c>
      <c r="AR7" s="435"/>
      <c r="AS7" s="432" t="s">
        <v>18</v>
      </c>
      <c r="AT7" s="433"/>
      <c r="AU7" s="434" t="s">
        <v>146</v>
      </c>
      <c r="AV7" s="435"/>
      <c r="AW7" s="432" t="s">
        <v>18</v>
      </c>
      <c r="AX7" s="433"/>
      <c r="AY7" s="353"/>
      <c r="AZ7" s="434" t="s">
        <v>146</v>
      </c>
      <c r="BA7" s="435"/>
      <c r="BB7" s="432" t="s">
        <v>18</v>
      </c>
      <c r="BC7" s="433"/>
    </row>
    <row r="8" spans="1:55" ht="38.25">
      <c r="A8" s="274"/>
      <c r="B8" s="275"/>
      <c r="C8" s="276" t="s">
        <v>16</v>
      </c>
      <c r="D8" s="117" t="s">
        <v>17</v>
      </c>
      <c r="E8" s="277" t="s">
        <v>61</v>
      </c>
      <c r="F8" s="224" t="s">
        <v>20</v>
      </c>
      <c r="G8" s="278" t="s">
        <v>16</v>
      </c>
      <c r="H8" s="117" t="s">
        <v>17</v>
      </c>
      <c r="I8" s="277" t="s">
        <v>61</v>
      </c>
      <c r="J8" s="224" t="s">
        <v>20</v>
      </c>
      <c r="K8" s="276" t="s">
        <v>16</v>
      </c>
      <c r="L8" s="117" t="s">
        <v>17</v>
      </c>
      <c r="M8" s="277" t="s">
        <v>61</v>
      </c>
      <c r="N8" s="224" t="s">
        <v>20</v>
      </c>
      <c r="O8" s="276" t="s">
        <v>16</v>
      </c>
      <c r="P8" s="117" t="s">
        <v>17</v>
      </c>
      <c r="Q8" s="277" t="s">
        <v>61</v>
      </c>
      <c r="R8" s="224" t="s">
        <v>20</v>
      </c>
      <c r="S8" s="276" t="s">
        <v>16</v>
      </c>
      <c r="T8" s="117" t="s">
        <v>17</v>
      </c>
      <c r="U8" s="277" t="s">
        <v>61</v>
      </c>
      <c r="V8" s="224" t="s">
        <v>20</v>
      </c>
      <c r="W8" s="276" t="s">
        <v>16</v>
      </c>
      <c r="X8" s="117" t="s">
        <v>17</v>
      </c>
      <c r="Y8" s="277" t="s">
        <v>61</v>
      </c>
      <c r="Z8" s="224" t="s">
        <v>20</v>
      </c>
      <c r="AA8" s="276" t="s">
        <v>16</v>
      </c>
      <c r="AB8" s="117" t="s">
        <v>17</v>
      </c>
      <c r="AC8" s="277" t="s">
        <v>61</v>
      </c>
      <c r="AD8" s="224" t="s">
        <v>20</v>
      </c>
      <c r="AE8" s="276" t="s">
        <v>16</v>
      </c>
      <c r="AF8" s="117" t="s">
        <v>17</v>
      </c>
      <c r="AG8" s="277" t="s">
        <v>61</v>
      </c>
      <c r="AH8" s="224" t="s">
        <v>20</v>
      </c>
      <c r="AI8" s="276" t="s">
        <v>16</v>
      </c>
      <c r="AJ8" s="117" t="s">
        <v>17</v>
      </c>
      <c r="AK8" s="277" t="s">
        <v>61</v>
      </c>
      <c r="AL8" s="224" t="s">
        <v>20</v>
      </c>
      <c r="AM8" s="276" t="s">
        <v>16</v>
      </c>
      <c r="AN8" s="117" t="s">
        <v>17</v>
      </c>
      <c r="AO8" s="277" t="s">
        <v>61</v>
      </c>
      <c r="AP8" s="224" t="s">
        <v>20</v>
      </c>
      <c r="AQ8" s="276" t="s">
        <v>16</v>
      </c>
      <c r="AR8" s="117" t="s">
        <v>17</v>
      </c>
      <c r="AS8" s="277" t="s">
        <v>61</v>
      </c>
      <c r="AT8" s="224" t="s">
        <v>20</v>
      </c>
      <c r="AU8" s="276" t="s">
        <v>16</v>
      </c>
      <c r="AV8" s="117" t="s">
        <v>17</v>
      </c>
      <c r="AW8" s="277" t="s">
        <v>61</v>
      </c>
      <c r="AX8" s="224" t="s">
        <v>20</v>
      </c>
      <c r="AY8" s="354" t="s">
        <v>148</v>
      </c>
      <c r="AZ8" s="276" t="s">
        <v>16</v>
      </c>
      <c r="BA8" s="117" t="s">
        <v>17</v>
      </c>
      <c r="BB8" s="277" t="s">
        <v>61</v>
      </c>
      <c r="BC8" s="277" t="s">
        <v>20</v>
      </c>
    </row>
    <row r="9" spans="1:55" s="285" customFormat="1" ht="12.75">
      <c r="A9" s="279" t="s">
        <v>62</v>
      </c>
      <c r="B9" s="280"/>
      <c r="C9" s="281">
        <f>SUM(C10:C18)</f>
        <v>108290.2</v>
      </c>
      <c r="D9" s="283">
        <f>SUM(D10:D18)</f>
        <v>114039.09999999999</v>
      </c>
      <c r="E9" s="282">
        <f>D9-C9</f>
        <v>5748.899999999994</v>
      </c>
      <c r="F9" s="284">
        <f>D9/C9*100</f>
        <v>105.30879063848806</v>
      </c>
      <c r="G9" s="283">
        <f>SUM(G10:G18)</f>
        <v>4077.2</v>
      </c>
      <c r="H9" s="283">
        <f>SUM(H10:H18)</f>
        <v>4744.7</v>
      </c>
      <c r="I9" s="282">
        <f>H9-G9</f>
        <v>667.5</v>
      </c>
      <c r="J9" s="284">
        <f>H9/G9*100</f>
        <v>116.3715294810164</v>
      </c>
      <c r="K9" s="281">
        <f>SUM(K10:K18)</f>
        <v>7272.7</v>
      </c>
      <c r="L9" s="283">
        <f>SUM(L10:L18)</f>
        <v>7888.5</v>
      </c>
      <c r="M9" s="282">
        <f>L9-K9</f>
        <v>615.8000000000002</v>
      </c>
      <c r="N9" s="284">
        <f>L9/K9*100</f>
        <v>108.46728175230658</v>
      </c>
      <c r="O9" s="281">
        <f>SUM(O10:O18)</f>
        <v>7905.2</v>
      </c>
      <c r="P9" s="283">
        <f>SUM(P10:P18)</f>
        <v>8009.400000000001</v>
      </c>
      <c r="Q9" s="282">
        <f>P9-O9</f>
        <v>104.20000000000073</v>
      </c>
      <c r="R9" s="284">
        <f>P9/O9*100</f>
        <v>101.3181197186662</v>
      </c>
      <c r="S9" s="281">
        <f>SUM(S10:S18)</f>
        <v>5909.900000000001</v>
      </c>
      <c r="T9" s="282">
        <f>SUM(T10:T18)</f>
        <v>6506.6</v>
      </c>
      <c r="U9" s="282">
        <f>T9-S9</f>
        <v>596.6999999999998</v>
      </c>
      <c r="V9" s="284">
        <f>T9/S9*100</f>
        <v>110.09661754005991</v>
      </c>
      <c r="W9" s="281">
        <f>SUM(W10:W18)</f>
        <v>3970.7000000000003</v>
      </c>
      <c r="X9" s="283">
        <f>SUM(X10:X18)</f>
        <v>3251.2000000000003</v>
      </c>
      <c r="Y9" s="282">
        <f>X9-W9</f>
        <v>-719.5</v>
      </c>
      <c r="Z9" s="284">
        <f>X9/W9*100</f>
        <v>81.87976931019719</v>
      </c>
      <c r="AA9" s="281">
        <f>SUM(AA10:AA18)</f>
        <v>4610.599999999999</v>
      </c>
      <c r="AB9" s="283">
        <f>SUM(AB10:AB18)</f>
        <v>4380.900000000001</v>
      </c>
      <c r="AC9" s="282">
        <f>AB9-AA9</f>
        <v>-229.6999999999989</v>
      </c>
      <c r="AD9" s="284">
        <f>AB9/AA9*100</f>
        <v>95.01800199540192</v>
      </c>
      <c r="AE9" s="281">
        <f>SUM(AE10:AE18)</f>
        <v>3350.4000000000005</v>
      </c>
      <c r="AF9" s="283">
        <f>SUM(AF10:AF18)</f>
        <v>3194.5</v>
      </c>
      <c r="AG9" s="282">
        <f>AF9-AE9</f>
        <v>-155.90000000000055</v>
      </c>
      <c r="AH9" s="284">
        <f>AF9/AE9*100</f>
        <v>95.34682425978987</v>
      </c>
      <c r="AI9" s="281">
        <f>SUM(AI10:AI18)</f>
        <v>8086.1</v>
      </c>
      <c r="AJ9" s="283">
        <f>SUM(AJ10:AJ18)</f>
        <v>9430.900000000001</v>
      </c>
      <c r="AK9" s="282">
        <f>AJ9-AI9</f>
        <v>1344.800000000001</v>
      </c>
      <c r="AL9" s="284">
        <f>AJ9/AI9*100</f>
        <v>116.63100876813297</v>
      </c>
      <c r="AM9" s="281">
        <f>SUM(AM10:AM18)</f>
        <v>1735</v>
      </c>
      <c r="AN9" s="283">
        <f>SUM(AN10:AN18)</f>
        <v>1816.8999999999999</v>
      </c>
      <c r="AO9" s="282">
        <f>AN9-AM9</f>
        <v>81.89999999999986</v>
      </c>
      <c r="AP9" s="284">
        <f>AN9/AM9*100</f>
        <v>104.72046109510084</v>
      </c>
      <c r="AQ9" s="281">
        <f>SUM(AQ10:AQ18)</f>
        <v>3467.4</v>
      </c>
      <c r="AR9" s="283">
        <f>SUM(AR10:AR18)</f>
        <v>3654.8</v>
      </c>
      <c r="AS9" s="282">
        <f>AR9-AQ9</f>
        <v>187.4000000000001</v>
      </c>
      <c r="AT9" s="284">
        <f>AR9/AQ9*100</f>
        <v>105.40462594451174</v>
      </c>
      <c r="AU9" s="281">
        <f>SUM(AU10:AU18)</f>
        <v>11183.2</v>
      </c>
      <c r="AV9" s="283">
        <f>SUM(AV10:AV18)</f>
        <v>11224.200000000003</v>
      </c>
      <c r="AW9" s="282">
        <f>AV9-AU9</f>
        <v>41.00000000000182</v>
      </c>
      <c r="AX9" s="284">
        <f>AV9/AU9*100</f>
        <v>100.36662136061236</v>
      </c>
      <c r="AY9" s="282">
        <f>SUM(AY10:AY18)</f>
        <v>10490.6</v>
      </c>
      <c r="AZ9" s="281">
        <f aca="true" t="shared" si="0" ref="AZ9:BA34">C9+G9+K9+O9+S9+W9+AA9+AE9+AI9+AM9+AQ9+AU9</f>
        <v>169858.6</v>
      </c>
      <c r="BA9" s="282">
        <f t="shared" si="0"/>
        <v>178141.69999999998</v>
      </c>
      <c r="BB9" s="282">
        <f>BA9-AZ9</f>
        <v>8283.099999999977</v>
      </c>
      <c r="BC9" s="282">
        <f>BA9/AZ9*100</f>
        <v>104.87646783854333</v>
      </c>
    </row>
    <row r="10" spans="1:55" ht="12.75">
      <c r="A10" s="118" t="s">
        <v>63</v>
      </c>
      <c r="B10" s="119"/>
      <c r="C10" s="286">
        <v>60081.1</v>
      </c>
      <c r="D10" s="287">
        <v>61302.8</v>
      </c>
      <c r="E10" s="288">
        <f>D10-C10</f>
        <v>1221.7000000000044</v>
      </c>
      <c r="F10" s="338">
        <f>D10/C10*100</f>
        <v>102.0334181631162</v>
      </c>
      <c r="G10" s="289">
        <v>635</v>
      </c>
      <c r="H10" s="287">
        <v>794.3</v>
      </c>
      <c r="I10" s="355">
        <f aca="true" t="shared" si="1" ref="I10:I34">H10-G10</f>
        <v>159.29999999999995</v>
      </c>
      <c r="J10" s="339">
        <f aca="true" t="shared" si="2" ref="J10:J34">H10/G10*100</f>
        <v>125.08661417322836</v>
      </c>
      <c r="K10" s="286">
        <v>1640.2</v>
      </c>
      <c r="L10" s="287">
        <v>1679.3</v>
      </c>
      <c r="M10" s="355">
        <f aca="true" t="shared" si="3" ref="M10:M34">L10-K10</f>
        <v>39.09999999999991</v>
      </c>
      <c r="N10" s="339">
        <f aca="true" t="shared" si="4" ref="N10:N34">L10/K10*100</f>
        <v>102.38385562736252</v>
      </c>
      <c r="O10" s="286">
        <v>4406.5</v>
      </c>
      <c r="P10" s="287">
        <v>4457.3</v>
      </c>
      <c r="Q10" s="355">
        <f aca="true" t="shared" si="5" ref="Q10:Q34">P10-O10</f>
        <v>50.80000000000018</v>
      </c>
      <c r="R10" s="339">
        <f aca="true" t="shared" si="6" ref="R10:R34">P10/O10*100</f>
        <v>101.15284239192104</v>
      </c>
      <c r="S10" s="286">
        <v>1026.9</v>
      </c>
      <c r="T10" s="287">
        <v>1214.5</v>
      </c>
      <c r="U10" s="355">
        <f aca="true" t="shared" si="7" ref="U10:U34">T10-S10</f>
        <v>187.5999999999999</v>
      </c>
      <c r="V10" s="339">
        <f aca="true" t="shared" si="8" ref="V10:V34">T10/S10*100</f>
        <v>118.26857532379005</v>
      </c>
      <c r="W10" s="286">
        <v>1258</v>
      </c>
      <c r="X10" s="287">
        <v>1294.5</v>
      </c>
      <c r="Y10" s="355">
        <f aca="true" t="shared" si="9" ref="Y10:Y34">X10-W10</f>
        <v>36.5</v>
      </c>
      <c r="Z10" s="339">
        <f aca="true" t="shared" si="10" ref="Z10:Z34">X10/W10*100</f>
        <v>102.90143084260733</v>
      </c>
      <c r="AA10" s="286">
        <v>772.2</v>
      </c>
      <c r="AB10" s="287">
        <v>794.5</v>
      </c>
      <c r="AC10" s="355">
        <f aca="true" t="shared" si="11" ref="AC10:AC34">AB10-AA10</f>
        <v>22.299999999999955</v>
      </c>
      <c r="AD10" s="339">
        <f aca="true" t="shared" si="12" ref="AD10:AD34">AB10/AA10*100</f>
        <v>102.88785288785287</v>
      </c>
      <c r="AE10" s="286">
        <v>687.8</v>
      </c>
      <c r="AF10" s="287">
        <v>822.8</v>
      </c>
      <c r="AG10" s="355">
        <f aca="true" t="shared" si="13" ref="AG10:AG34">AF10-AE10</f>
        <v>135</v>
      </c>
      <c r="AH10" s="339">
        <f aca="true" t="shared" si="14" ref="AH10:AH34">AF10/AE10*100</f>
        <v>119.62779877871475</v>
      </c>
      <c r="AI10" s="286">
        <v>1895.8</v>
      </c>
      <c r="AJ10" s="287">
        <v>2223.9</v>
      </c>
      <c r="AK10" s="355">
        <f aca="true" t="shared" si="15" ref="AK10:AK34">AJ10-AI10</f>
        <v>328.10000000000014</v>
      </c>
      <c r="AL10" s="339">
        <f aca="true" t="shared" si="16" ref="AL10:AL34">AJ10/AI10*100</f>
        <v>117.30667791961179</v>
      </c>
      <c r="AM10" s="286">
        <v>482.9</v>
      </c>
      <c r="AN10" s="287">
        <v>504.1</v>
      </c>
      <c r="AO10" s="355">
        <f aca="true" t="shared" si="17" ref="AO10:AO34">AN10-AM10</f>
        <v>21.200000000000045</v>
      </c>
      <c r="AP10" s="339">
        <f aca="true" t="shared" si="18" ref="AP10:AP34">AN10/AM10*100</f>
        <v>104.39014288672604</v>
      </c>
      <c r="AQ10" s="286">
        <v>865.6</v>
      </c>
      <c r="AR10" s="287">
        <v>1123.3</v>
      </c>
      <c r="AS10" s="355">
        <f aca="true" t="shared" si="19" ref="AS10:AS34">AR10-AQ10</f>
        <v>257.69999999999993</v>
      </c>
      <c r="AT10" s="339">
        <f aca="true" t="shared" si="20" ref="AT10:AT34">AR10/AQ10*100</f>
        <v>129.77125693160812</v>
      </c>
      <c r="AU10" s="286">
        <v>3304.6</v>
      </c>
      <c r="AV10" s="287">
        <v>3358</v>
      </c>
      <c r="AW10" s="288">
        <f>AV10-AU10</f>
        <v>53.40000000000009</v>
      </c>
      <c r="AX10" s="339">
        <f aca="true" t="shared" si="21" ref="AX10:AX34">AV10/AU10*100</f>
        <v>101.61592931065788</v>
      </c>
      <c r="AY10" s="356">
        <v>3335.9</v>
      </c>
      <c r="AZ10" s="290">
        <f t="shared" si="0"/>
        <v>77056.59999999999</v>
      </c>
      <c r="BA10" s="221">
        <f t="shared" si="0"/>
        <v>79569.30000000002</v>
      </c>
      <c r="BB10" s="355">
        <f aca="true" t="shared" si="22" ref="BB10:BB34">BA10-AZ10</f>
        <v>2512.700000000026</v>
      </c>
      <c r="BC10" s="355">
        <f aca="true" t="shared" si="23" ref="BC10:BC34">BA10/AZ10*100</f>
        <v>103.26084981688788</v>
      </c>
    </row>
    <row r="11" spans="1:55" ht="12.75">
      <c r="A11" s="118" t="s">
        <v>64</v>
      </c>
      <c r="B11" s="119"/>
      <c r="C11" s="286">
        <v>2047.7</v>
      </c>
      <c r="D11" s="287">
        <v>2199.6</v>
      </c>
      <c r="E11" s="288">
        <f aca="true" t="shared" si="24" ref="E11:E34">D11-C11</f>
        <v>151.89999999999986</v>
      </c>
      <c r="F11" s="338">
        <f aca="true" t="shared" si="25" ref="F11:F34">D11/C11*100</f>
        <v>107.41807882013967</v>
      </c>
      <c r="G11" s="289"/>
      <c r="H11" s="287"/>
      <c r="I11" s="355">
        <f t="shared" si="1"/>
        <v>0</v>
      </c>
      <c r="J11" s="339"/>
      <c r="K11" s="286">
        <v>0</v>
      </c>
      <c r="L11" s="287"/>
      <c r="M11" s="355">
        <f t="shared" si="3"/>
        <v>0</v>
      </c>
      <c r="N11" s="339"/>
      <c r="O11" s="286"/>
      <c r="P11" s="287"/>
      <c r="Q11" s="355">
        <f t="shared" si="5"/>
        <v>0</v>
      </c>
      <c r="R11" s="339"/>
      <c r="S11" s="286"/>
      <c r="T11" s="287"/>
      <c r="U11" s="355">
        <f t="shared" si="7"/>
        <v>0</v>
      </c>
      <c r="V11" s="339"/>
      <c r="W11" s="286"/>
      <c r="X11" s="287"/>
      <c r="Y11" s="355">
        <f t="shared" si="9"/>
        <v>0</v>
      </c>
      <c r="Z11" s="339"/>
      <c r="AA11" s="286"/>
      <c r="AB11" s="287"/>
      <c r="AC11" s="355">
        <f t="shared" si="11"/>
        <v>0</v>
      </c>
      <c r="AD11" s="339"/>
      <c r="AE11" s="286"/>
      <c r="AF11" s="287"/>
      <c r="AG11" s="355">
        <f t="shared" si="13"/>
        <v>0</v>
      </c>
      <c r="AH11" s="339"/>
      <c r="AI11" s="286"/>
      <c r="AJ11" s="287"/>
      <c r="AK11" s="355">
        <f t="shared" si="15"/>
        <v>0</v>
      </c>
      <c r="AL11" s="339"/>
      <c r="AM11" s="286"/>
      <c r="AN11" s="287"/>
      <c r="AO11" s="355">
        <f t="shared" si="17"/>
        <v>0</v>
      </c>
      <c r="AP11" s="339"/>
      <c r="AQ11" s="286"/>
      <c r="AR11" s="287"/>
      <c r="AS11" s="355">
        <f t="shared" si="19"/>
        <v>0</v>
      </c>
      <c r="AT11" s="339"/>
      <c r="AU11" s="286">
        <v>785.4</v>
      </c>
      <c r="AV11" s="287">
        <v>843.6</v>
      </c>
      <c r="AW11" s="288">
        <f aca="true" t="shared" si="26" ref="AW11:AW27">AV11-AU11</f>
        <v>58.200000000000045</v>
      </c>
      <c r="AX11" s="339">
        <f t="shared" si="21"/>
        <v>107.41023682200152</v>
      </c>
      <c r="AY11" s="356">
        <v>708.3</v>
      </c>
      <c r="AZ11" s="290">
        <f t="shared" si="0"/>
        <v>2833.1</v>
      </c>
      <c r="BA11" s="221">
        <f t="shared" si="0"/>
        <v>3043.2</v>
      </c>
      <c r="BB11" s="355">
        <f t="shared" si="22"/>
        <v>210.0999999999999</v>
      </c>
      <c r="BC11" s="355">
        <f t="shared" si="23"/>
        <v>107.41590483922205</v>
      </c>
    </row>
    <row r="12" spans="1:55" ht="24.75" customHeight="1" hidden="1">
      <c r="A12" s="121" t="s">
        <v>24</v>
      </c>
      <c r="B12" s="119"/>
      <c r="C12" s="286"/>
      <c r="D12" s="287"/>
      <c r="E12" s="288">
        <f t="shared" si="24"/>
        <v>0</v>
      </c>
      <c r="F12" s="338" t="e">
        <f t="shared" si="25"/>
        <v>#DIV/0!</v>
      </c>
      <c r="G12" s="289"/>
      <c r="H12" s="287"/>
      <c r="I12" s="355">
        <f t="shared" si="1"/>
        <v>0</v>
      </c>
      <c r="J12" s="339" t="e">
        <f t="shared" si="2"/>
        <v>#DIV/0!</v>
      </c>
      <c r="K12" s="286"/>
      <c r="L12" s="287"/>
      <c r="M12" s="355">
        <f t="shared" si="3"/>
        <v>0</v>
      </c>
      <c r="N12" s="339" t="e">
        <f t="shared" si="4"/>
        <v>#DIV/0!</v>
      </c>
      <c r="O12" s="286"/>
      <c r="P12" s="287"/>
      <c r="Q12" s="355">
        <f t="shared" si="5"/>
        <v>0</v>
      </c>
      <c r="R12" s="339" t="e">
        <f t="shared" si="6"/>
        <v>#DIV/0!</v>
      </c>
      <c r="S12" s="286"/>
      <c r="T12" s="287"/>
      <c r="U12" s="355">
        <f t="shared" si="7"/>
        <v>0</v>
      </c>
      <c r="V12" s="339" t="e">
        <f t="shared" si="8"/>
        <v>#DIV/0!</v>
      </c>
      <c r="W12" s="286"/>
      <c r="X12" s="287"/>
      <c r="Y12" s="355">
        <f t="shared" si="9"/>
        <v>0</v>
      </c>
      <c r="Z12" s="339" t="e">
        <f t="shared" si="10"/>
        <v>#DIV/0!</v>
      </c>
      <c r="AA12" s="286"/>
      <c r="AB12" s="287"/>
      <c r="AC12" s="355">
        <f t="shared" si="11"/>
        <v>0</v>
      </c>
      <c r="AD12" s="339" t="e">
        <f t="shared" si="12"/>
        <v>#DIV/0!</v>
      </c>
      <c r="AE12" s="286"/>
      <c r="AF12" s="287"/>
      <c r="AG12" s="355">
        <f t="shared" si="13"/>
        <v>0</v>
      </c>
      <c r="AH12" s="339" t="e">
        <f t="shared" si="14"/>
        <v>#DIV/0!</v>
      </c>
      <c r="AI12" s="286"/>
      <c r="AJ12" s="287"/>
      <c r="AK12" s="355">
        <f t="shared" si="15"/>
        <v>0</v>
      </c>
      <c r="AL12" s="339" t="e">
        <f t="shared" si="16"/>
        <v>#DIV/0!</v>
      </c>
      <c r="AM12" s="286"/>
      <c r="AN12" s="287"/>
      <c r="AO12" s="355">
        <f t="shared" si="17"/>
        <v>0</v>
      </c>
      <c r="AP12" s="339" t="e">
        <f t="shared" si="18"/>
        <v>#DIV/0!</v>
      </c>
      <c r="AQ12" s="286"/>
      <c r="AR12" s="287"/>
      <c r="AS12" s="355">
        <f t="shared" si="19"/>
        <v>0</v>
      </c>
      <c r="AT12" s="339" t="e">
        <f t="shared" si="20"/>
        <v>#DIV/0!</v>
      </c>
      <c r="AU12" s="286"/>
      <c r="AV12" s="287"/>
      <c r="AW12" s="288">
        <f t="shared" si="26"/>
        <v>0</v>
      </c>
      <c r="AX12" s="339" t="e">
        <f t="shared" si="21"/>
        <v>#DIV/0!</v>
      </c>
      <c r="AY12" s="356"/>
      <c r="AZ12" s="290">
        <f t="shared" si="0"/>
        <v>0</v>
      </c>
      <c r="BA12" s="221">
        <f t="shared" si="0"/>
        <v>0</v>
      </c>
      <c r="BB12" s="355">
        <f t="shared" si="22"/>
        <v>0</v>
      </c>
      <c r="BC12" s="355" t="e">
        <f t="shared" si="23"/>
        <v>#DIV/0!</v>
      </c>
    </row>
    <row r="13" spans="1:55" ht="12.75">
      <c r="A13" s="118" t="s">
        <v>26</v>
      </c>
      <c r="B13" s="122"/>
      <c r="C13" s="291">
        <v>800</v>
      </c>
      <c r="D13" s="292">
        <v>769.5</v>
      </c>
      <c r="E13" s="288">
        <f t="shared" si="24"/>
        <v>-30.5</v>
      </c>
      <c r="F13" s="338">
        <f t="shared" si="25"/>
        <v>96.1875</v>
      </c>
      <c r="G13" s="293">
        <v>60</v>
      </c>
      <c r="H13" s="292">
        <v>152.8</v>
      </c>
      <c r="I13" s="355">
        <f t="shared" si="1"/>
        <v>92.80000000000001</v>
      </c>
      <c r="J13" s="339">
        <f t="shared" si="2"/>
        <v>254.66666666666669</v>
      </c>
      <c r="K13" s="291">
        <v>4.5</v>
      </c>
      <c r="L13" s="292">
        <v>8.4</v>
      </c>
      <c r="M13" s="355">
        <f t="shared" si="3"/>
        <v>3.9000000000000004</v>
      </c>
      <c r="N13" s="339">
        <f t="shared" si="4"/>
        <v>186.66666666666666</v>
      </c>
      <c r="O13" s="291">
        <v>60.6</v>
      </c>
      <c r="P13" s="292">
        <v>38.8</v>
      </c>
      <c r="Q13" s="355">
        <f t="shared" si="5"/>
        <v>-21.800000000000004</v>
      </c>
      <c r="R13" s="339">
        <f t="shared" si="6"/>
        <v>64.02640264026402</v>
      </c>
      <c r="S13" s="291">
        <v>184.5</v>
      </c>
      <c r="T13" s="292">
        <v>204</v>
      </c>
      <c r="U13" s="355">
        <f t="shared" si="7"/>
        <v>19.5</v>
      </c>
      <c r="V13" s="339">
        <f t="shared" si="8"/>
        <v>110.56910569105692</v>
      </c>
      <c r="W13" s="291">
        <v>144</v>
      </c>
      <c r="X13" s="292">
        <v>97</v>
      </c>
      <c r="Y13" s="355">
        <f t="shared" si="9"/>
        <v>-47</v>
      </c>
      <c r="Z13" s="339">
        <f t="shared" si="10"/>
        <v>67.36111111111111</v>
      </c>
      <c r="AA13" s="291">
        <v>196.7</v>
      </c>
      <c r="AB13" s="292">
        <v>196.7</v>
      </c>
      <c r="AC13" s="355">
        <f t="shared" si="11"/>
        <v>0</v>
      </c>
      <c r="AD13" s="339">
        <f t="shared" si="12"/>
        <v>100</v>
      </c>
      <c r="AE13" s="291">
        <v>200</v>
      </c>
      <c r="AF13" s="292">
        <v>204.8</v>
      </c>
      <c r="AG13" s="355">
        <f t="shared" si="13"/>
        <v>4.800000000000011</v>
      </c>
      <c r="AH13" s="339">
        <f t="shared" si="14"/>
        <v>102.4</v>
      </c>
      <c r="AI13" s="291">
        <v>764.2</v>
      </c>
      <c r="AJ13" s="292">
        <v>1469.4</v>
      </c>
      <c r="AK13" s="355">
        <f t="shared" si="15"/>
        <v>705.2</v>
      </c>
      <c r="AL13" s="339">
        <f t="shared" si="16"/>
        <v>192.27950798220363</v>
      </c>
      <c r="AM13" s="291">
        <v>3.7</v>
      </c>
      <c r="AN13" s="292">
        <v>3.7</v>
      </c>
      <c r="AO13" s="355">
        <f t="shared" si="17"/>
        <v>0</v>
      </c>
      <c r="AP13" s="339">
        <f t="shared" si="18"/>
        <v>100</v>
      </c>
      <c r="AQ13" s="291">
        <v>216</v>
      </c>
      <c r="AR13" s="292">
        <v>64.7</v>
      </c>
      <c r="AS13" s="355">
        <f t="shared" si="19"/>
        <v>-151.3</v>
      </c>
      <c r="AT13" s="339">
        <f t="shared" si="20"/>
        <v>29.953703703703706</v>
      </c>
      <c r="AU13" s="291"/>
      <c r="AV13" s="292"/>
      <c r="AW13" s="288">
        <f t="shared" si="26"/>
        <v>0</v>
      </c>
      <c r="AX13" s="339"/>
      <c r="AY13" s="357"/>
      <c r="AZ13" s="290">
        <f t="shared" si="0"/>
        <v>2634.2</v>
      </c>
      <c r="BA13" s="221">
        <f t="shared" si="0"/>
        <v>3209.7999999999997</v>
      </c>
      <c r="BB13" s="355">
        <f t="shared" si="22"/>
        <v>575.5999999999999</v>
      </c>
      <c r="BC13" s="355">
        <f t="shared" si="23"/>
        <v>121.8510363677777</v>
      </c>
    </row>
    <row r="14" spans="1:55" ht="12.75">
      <c r="A14" s="123" t="s">
        <v>65</v>
      </c>
      <c r="B14" s="122"/>
      <c r="C14" s="291">
        <v>7228.4</v>
      </c>
      <c r="D14" s="292">
        <v>7116</v>
      </c>
      <c r="E14" s="288">
        <f t="shared" si="24"/>
        <v>-112.39999999999964</v>
      </c>
      <c r="F14" s="338">
        <f t="shared" si="25"/>
        <v>98.4450224115987</v>
      </c>
      <c r="G14" s="293">
        <v>130</v>
      </c>
      <c r="H14" s="292">
        <v>137.2</v>
      </c>
      <c r="I14" s="355">
        <f t="shared" si="1"/>
        <v>7.199999999999989</v>
      </c>
      <c r="J14" s="339">
        <f t="shared" si="2"/>
        <v>105.53846153846153</v>
      </c>
      <c r="K14" s="291">
        <v>290</v>
      </c>
      <c r="L14" s="292">
        <v>292.3</v>
      </c>
      <c r="M14" s="355">
        <f t="shared" si="3"/>
        <v>2.3000000000000114</v>
      </c>
      <c r="N14" s="339">
        <f t="shared" si="4"/>
        <v>100.79310344827586</v>
      </c>
      <c r="O14" s="291">
        <v>105</v>
      </c>
      <c r="P14" s="292">
        <v>96.7</v>
      </c>
      <c r="Q14" s="355">
        <f t="shared" si="5"/>
        <v>-8.299999999999997</v>
      </c>
      <c r="R14" s="339">
        <f t="shared" si="6"/>
        <v>92.0952380952381</v>
      </c>
      <c r="S14" s="291">
        <v>32.3</v>
      </c>
      <c r="T14" s="292">
        <v>35.7</v>
      </c>
      <c r="U14" s="355">
        <f t="shared" si="7"/>
        <v>3.4000000000000057</v>
      </c>
      <c r="V14" s="339">
        <f t="shared" si="8"/>
        <v>110.5263157894737</v>
      </c>
      <c r="W14" s="291">
        <v>293.5</v>
      </c>
      <c r="X14" s="292">
        <v>100.2</v>
      </c>
      <c r="Y14" s="355">
        <f t="shared" si="9"/>
        <v>-193.3</v>
      </c>
      <c r="Z14" s="339">
        <f t="shared" si="10"/>
        <v>34.1396933560477</v>
      </c>
      <c r="AA14" s="291">
        <v>176.6</v>
      </c>
      <c r="AB14" s="292">
        <v>107.9</v>
      </c>
      <c r="AC14" s="355">
        <f t="shared" si="11"/>
        <v>-68.69999999999999</v>
      </c>
      <c r="AD14" s="339">
        <f t="shared" si="12"/>
        <v>61.09852774631938</v>
      </c>
      <c r="AE14" s="291">
        <v>73.1</v>
      </c>
      <c r="AF14" s="292">
        <v>67.5</v>
      </c>
      <c r="AG14" s="355">
        <f t="shared" si="13"/>
        <v>-5.599999999999994</v>
      </c>
      <c r="AH14" s="339">
        <f t="shared" si="14"/>
        <v>92.33926128590973</v>
      </c>
      <c r="AI14" s="291">
        <v>570.5</v>
      </c>
      <c r="AJ14" s="292">
        <v>583.7</v>
      </c>
      <c r="AK14" s="355">
        <f t="shared" si="15"/>
        <v>13.200000000000045</v>
      </c>
      <c r="AL14" s="339">
        <f t="shared" si="16"/>
        <v>102.31375985977213</v>
      </c>
      <c r="AM14" s="291">
        <v>45.2</v>
      </c>
      <c r="AN14" s="292">
        <v>45.7</v>
      </c>
      <c r="AO14" s="355">
        <f t="shared" si="17"/>
        <v>0.5</v>
      </c>
      <c r="AP14" s="339">
        <f t="shared" si="18"/>
        <v>101.1061946902655</v>
      </c>
      <c r="AQ14" s="291">
        <v>200</v>
      </c>
      <c r="AR14" s="292">
        <v>204.4</v>
      </c>
      <c r="AS14" s="355">
        <f t="shared" si="19"/>
        <v>4.400000000000006</v>
      </c>
      <c r="AT14" s="339">
        <f t="shared" si="20"/>
        <v>102.2</v>
      </c>
      <c r="AU14" s="291">
        <v>708.6</v>
      </c>
      <c r="AV14" s="292">
        <v>711.1</v>
      </c>
      <c r="AW14" s="288">
        <f t="shared" si="26"/>
        <v>2.5</v>
      </c>
      <c r="AX14" s="339">
        <f t="shared" si="21"/>
        <v>100.35280835450185</v>
      </c>
      <c r="AY14" s="357">
        <v>860</v>
      </c>
      <c r="AZ14" s="290">
        <f t="shared" si="0"/>
        <v>9853.2</v>
      </c>
      <c r="BA14" s="221">
        <f t="shared" si="0"/>
        <v>9498.4</v>
      </c>
      <c r="BB14" s="355">
        <f t="shared" si="22"/>
        <v>-354.8000000000011</v>
      </c>
      <c r="BC14" s="355">
        <f t="shared" si="23"/>
        <v>96.39913936589127</v>
      </c>
    </row>
    <row r="15" spans="1:55" s="126" customFormat="1" ht="12.75">
      <c r="A15" s="124" t="s">
        <v>66</v>
      </c>
      <c r="B15" s="125"/>
      <c r="C15" s="294">
        <v>26428.5</v>
      </c>
      <c r="D15" s="295">
        <v>27473.9</v>
      </c>
      <c r="E15" s="288">
        <f t="shared" si="24"/>
        <v>1045.4000000000015</v>
      </c>
      <c r="F15" s="338">
        <f t="shared" si="25"/>
        <v>103.95557825831962</v>
      </c>
      <c r="G15" s="296">
        <v>2903.6</v>
      </c>
      <c r="H15" s="295">
        <v>3100.1</v>
      </c>
      <c r="I15" s="355">
        <f t="shared" si="1"/>
        <v>196.5</v>
      </c>
      <c r="J15" s="339">
        <f t="shared" si="2"/>
        <v>106.76746108279377</v>
      </c>
      <c r="K15" s="294">
        <v>4947.6</v>
      </c>
      <c r="L15" s="295">
        <v>5440.8</v>
      </c>
      <c r="M15" s="355">
        <f t="shared" si="3"/>
        <v>493.1999999999998</v>
      </c>
      <c r="N15" s="339">
        <f t="shared" si="4"/>
        <v>109.96846956099927</v>
      </c>
      <c r="O15" s="294">
        <v>3217.2</v>
      </c>
      <c r="P15" s="295">
        <v>3356.9</v>
      </c>
      <c r="Q15" s="355">
        <f t="shared" si="5"/>
        <v>139.70000000000027</v>
      </c>
      <c r="R15" s="339">
        <f t="shared" si="6"/>
        <v>104.34228521695886</v>
      </c>
      <c r="S15" s="294">
        <v>4053.3</v>
      </c>
      <c r="T15" s="295">
        <v>4077.6</v>
      </c>
      <c r="U15" s="355">
        <f t="shared" si="7"/>
        <v>24.299999999999727</v>
      </c>
      <c r="V15" s="339">
        <f t="shared" si="8"/>
        <v>100.59951150914071</v>
      </c>
      <c r="W15" s="294">
        <v>1904</v>
      </c>
      <c r="X15" s="295">
        <v>1353.4</v>
      </c>
      <c r="Y15" s="355">
        <f t="shared" si="9"/>
        <v>-550.5999999999999</v>
      </c>
      <c r="Z15" s="339">
        <f t="shared" si="10"/>
        <v>71.08193277310924</v>
      </c>
      <c r="AA15" s="294">
        <v>3003.5</v>
      </c>
      <c r="AB15" s="295">
        <v>2818.8</v>
      </c>
      <c r="AC15" s="355">
        <f t="shared" si="11"/>
        <v>-184.69999999999982</v>
      </c>
      <c r="AD15" s="339">
        <f t="shared" si="12"/>
        <v>93.85050774096888</v>
      </c>
      <c r="AE15" s="294">
        <v>2263.8</v>
      </c>
      <c r="AF15" s="295">
        <v>1975.9</v>
      </c>
      <c r="AG15" s="355">
        <f t="shared" si="13"/>
        <v>-287.9000000000001</v>
      </c>
      <c r="AH15" s="339">
        <f t="shared" si="14"/>
        <v>87.28244544571075</v>
      </c>
      <c r="AI15" s="294">
        <v>4466.6</v>
      </c>
      <c r="AJ15" s="295">
        <v>4615.5</v>
      </c>
      <c r="AK15" s="355">
        <f t="shared" si="15"/>
        <v>148.89999999999964</v>
      </c>
      <c r="AL15" s="339">
        <f t="shared" si="16"/>
        <v>103.33363184525142</v>
      </c>
      <c r="AM15" s="294">
        <v>1103.3</v>
      </c>
      <c r="AN15" s="295">
        <v>1159</v>
      </c>
      <c r="AO15" s="355">
        <f t="shared" si="17"/>
        <v>55.700000000000045</v>
      </c>
      <c r="AP15" s="339">
        <f t="shared" si="18"/>
        <v>105.04849089096349</v>
      </c>
      <c r="AQ15" s="294">
        <v>1740.2</v>
      </c>
      <c r="AR15" s="295">
        <v>1802.7</v>
      </c>
      <c r="AS15" s="355">
        <f t="shared" si="19"/>
        <v>62.5</v>
      </c>
      <c r="AT15" s="339">
        <f t="shared" si="20"/>
        <v>103.59154120216067</v>
      </c>
      <c r="AU15" s="294">
        <v>4233.4</v>
      </c>
      <c r="AV15" s="295">
        <v>4252.7</v>
      </c>
      <c r="AW15" s="288">
        <f t="shared" si="26"/>
        <v>19.300000000000182</v>
      </c>
      <c r="AX15" s="339">
        <f t="shared" si="21"/>
        <v>100.45589833230973</v>
      </c>
      <c r="AY15" s="358">
        <v>4637.6</v>
      </c>
      <c r="AZ15" s="290">
        <f t="shared" si="0"/>
        <v>60265</v>
      </c>
      <c r="BA15" s="221">
        <f t="shared" si="0"/>
        <v>61427.3</v>
      </c>
      <c r="BB15" s="355">
        <f t="shared" si="22"/>
        <v>1162.300000000003</v>
      </c>
      <c r="BC15" s="355">
        <f t="shared" si="23"/>
        <v>101.92864846926078</v>
      </c>
    </row>
    <row r="16" spans="1:55" ht="12.75" customHeight="1">
      <c r="A16" s="127" t="s">
        <v>67</v>
      </c>
      <c r="B16" s="128"/>
      <c r="C16" s="294"/>
      <c r="D16" s="297"/>
      <c r="E16" s="288">
        <f t="shared" si="24"/>
        <v>0</v>
      </c>
      <c r="F16" s="338"/>
      <c r="G16" s="296">
        <v>80</v>
      </c>
      <c r="H16" s="297">
        <v>89</v>
      </c>
      <c r="I16" s="355">
        <f t="shared" si="1"/>
        <v>9</v>
      </c>
      <c r="J16" s="339">
        <f t="shared" si="2"/>
        <v>111.25</v>
      </c>
      <c r="K16" s="294">
        <v>50.9</v>
      </c>
      <c r="L16" s="297">
        <v>51.3</v>
      </c>
      <c r="M16" s="355">
        <f t="shared" si="3"/>
        <v>0.3999999999999986</v>
      </c>
      <c r="N16" s="339">
        <f t="shared" si="4"/>
        <v>100.78585461689586</v>
      </c>
      <c r="O16" s="294">
        <v>26</v>
      </c>
      <c r="P16" s="297">
        <v>17.2</v>
      </c>
      <c r="Q16" s="355">
        <f t="shared" si="5"/>
        <v>-8.8</v>
      </c>
      <c r="R16" s="339">
        <f t="shared" si="6"/>
        <v>66.15384615384615</v>
      </c>
      <c r="S16" s="294">
        <v>42.6</v>
      </c>
      <c r="T16" s="297">
        <v>71.7</v>
      </c>
      <c r="U16" s="355">
        <f t="shared" si="7"/>
        <v>29.1</v>
      </c>
      <c r="V16" s="339">
        <f t="shared" si="8"/>
        <v>168.30985915492957</v>
      </c>
      <c r="W16" s="294">
        <v>91.9</v>
      </c>
      <c r="X16" s="297">
        <v>49.6</v>
      </c>
      <c r="Y16" s="355">
        <f t="shared" si="9"/>
        <v>-42.300000000000004</v>
      </c>
      <c r="Z16" s="339">
        <f t="shared" si="10"/>
        <v>53.97170837867247</v>
      </c>
      <c r="AA16" s="294">
        <v>35.4</v>
      </c>
      <c r="AB16" s="297">
        <v>34.9</v>
      </c>
      <c r="AC16" s="355">
        <f t="shared" si="11"/>
        <v>-0.5</v>
      </c>
      <c r="AD16" s="339">
        <f t="shared" si="12"/>
        <v>98.58757062146893</v>
      </c>
      <c r="AE16" s="294">
        <v>20.8</v>
      </c>
      <c r="AF16" s="297">
        <v>33.6</v>
      </c>
      <c r="AG16" s="355">
        <f t="shared" si="13"/>
        <v>12.8</v>
      </c>
      <c r="AH16" s="339">
        <f t="shared" si="14"/>
        <v>161.53846153846155</v>
      </c>
      <c r="AI16" s="294">
        <v>13.9</v>
      </c>
      <c r="AJ16" s="297">
        <v>39.7</v>
      </c>
      <c r="AK16" s="355">
        <f t="shared" si="15"/>
        <v>25.800000000000004</v>
      </c>
      <c r="AL16" s="339">
        <f t="shared" si="16"/>
        <v>285.6115107913669</v>
      </c>
      <c r="AM16" s="294">
        <v>22.5</v>
      </c>
      <c r="AN16" s="297">
        <v>20.6</v>
      </c>
      <c r="AO16" s="355">
        <f t="shared" si="17"/>
        <v>-1.8999999999999986</v>
      </c>
      <c r="AP16" s="339">
        <f t="shared" si="18"/>
        <v>91.55555555555556</v>
      </c>
      <c r="AQ16" s="294">
        <v>68.5</v>
      </c>
      <c r="AR16" s="297">
        <v>67.1</v>
      </c>
      <c r="AS16" s="355">
        <f t="shared" si="19"/>
        <v>-1.4000000000000057</v>
      </c>
      <c r="AT16" s="339">
        <f t="shared" si="20"/>
        <v>97.95620437956204</v>
      </c>
      <c r="AU16" s="294">
        <v>82.6</v>
      </c>
      <c r="AV16" s="297">
        <v>83.1</v>
      </c>
      <c r="AW16" s="288">
        <f t="shared" si="26"/>
        <v>0.5</v>
      </c>
      <c r="AX16" s="339">
        <f t="shared" si="21"/>
        <v>100.60532687651332</v>
      </c>
      <c r="AY16" s="358">
        <v>98.2</v>
      </c>
      <c r="AZ16" s="290">
        <f t="shared" si="0"/>
        <v>535.0999999999999</v>
      </c>
      <c r="BA16" s="221">
        <f t="shared" si="0"/>
        <v>557.8000000000001</v>
      </c>
      <c r="BB16" s="355">
        <f t="shared" si="22"/>
        <v>22.70000000000016</v>
      </c>
      <c r="BC16" s="355">
        <f t="shared" si="23"/>
        <v>104.24219772005236</v>
      </c>
    </row>
    <row r="17" spans="1:55" ht="21.75" customHeight="1">
      <c r="A17" s="127" t="s">
        <v>68</v>
      </c>
      <c r="B17" s="128"/>
      <c r="C17" s="294"/>
      <c r="D17" s="298"/>
      <c r="E17" s="288">
        <f t="shared" si="24"/>
        <v>0</v>
      </c>
      <c r="F17" s="338"/>
      <c r="G17" s="296"/>
      <c r="H17" s="298"/>
      <c r="I17" s="355">
        <f t="shared" si="1"/>
        <v>0</v>
      </c>
      <c r="J17" s="339"/>
      <c r="K17" s="294"/>
      <c r="L17" s="298"/>
      <c r="M17" s="355">
        <f t="shared" si="3"/>
        <v>0</v>
      </c>
      <c r="N17" s="339"/>
      <c r="O17" s="294"/>
      <c r="P17" s="298"/>
      <c r="Q17" s="355">
        <f t="shared" si="5"/>
        <v>0</v>
      </c>
      <c r="R17" s="339"/>
      <c r="S17" s="294"/>
      <c r="T17" s="298"/>
      <c r="U17" s="355">
        <f t="shared" si="7"/>
        <v>0</v>
      </c>
      <c r="V17" s="339"/>
      <c r="W17" s="294"/>
      <c r="X17" s="298"/>
      <c r="Y17" s="355">
        <f t="shared" si="9"/>
        <v>0</v>
      </c>
      <c r="Z17" s="339"/>
      <c r="AA17" s="294"/>
      <c r="AB17" s="298"/>
      <c r="AC17" s="355">
        <f t="shared" si="11"/>
        <v>0</v>
      </c>
      <c r="AD17" s="339"/>
      <c r="AE17" s="294"/>
      <c r="AF17" s="298"/>
      <c r="AG17" s="355">
        <f t="shared" si="13"/>
        <v>0</v>
      </c>
      <c r="AH17" s="339"/>
      <c r="AI17" s="294"/>
      <c r="AJ17" s="298"/>
      <c r="AK17" s="355">
        <f t="shared" si="15"/>
        <v>0</v>
      </c>
      <c r="AL17" s="339"/>
      <c r="AM17" s="294"/>
      <c r="AN17" s="298"/>
      <c r="AO17" s="355">
        <f t="shared" si="17"/>
        <v>0</v>
      </c>
      <c r="AP17" s="339"/>
      <c r="AQ17" s="294"/>
      <c r="AR17" s="298"/>
      <c r="AS17" s="355">
        <f t="shared" si="19"/>
        <v>0</v>
      </c>
      <c r="AT17" s="339"/>
      <c r="AU17" s="294"/>
      <c r="AV17" s="298"/>
      <c r="AW17" s="288">
        <f t="shared" si="26"/>
        <v>0</v>
      </c>
      <c r="AX17" s="339"/>
      <c r="AY17" s="358"/>
      <c r="AZ17" s="290">
        <f t="shared" si="0"/>
        <v>0</v>
      </c>
      <c r="BA17" s="221">
        <f t="shared" si="0"/>
        <v>0</v>
      </c>
      <c r="BB17" s="355">
        <f t="shared" si="22"/>
        <v>0</v>
      </c>
      <c r="BC17" s="355"/>
    </row>
    <row r="18" spans="1:55" s="131" customFormat="1" ht="21.75" customHeight="1">
      <c r="A18" s="129" t="s">
        <v>69</v>
      </c>
      <c r="B18" s="130"/>
      <c r="C18" s="299">
        <f>SUM(C19:C27)</f>
        <v>11704.5</v>
      </c>
      <c r="D18" s="300">
        <f>SUM(D19:D27)</f>
        <v>15177.300000000001</v>
      </c>
      <c r="E18" s="288">
        <f t="shared" si="24"/>
        <v>3472.800000000001</v>
      </c>
      <c r="F18" s="338">
        <f t="shared" si="25"/>
        <v>129.67063949762914</v>
      </c>
      <c r="G18" s="299">
        <f>SUM(G19:G27)</f>
        <v>268.6</v>
      </c>
      <c r="H18" s="300">
        <f>SUM(H19:H27)</f>
        <v>471.3</v>
      </c>
      <c r="I18" s="355">
        <f t="shared" si="1"/>
        <v>202.7</v>
      </c>
      <c r="J18" s="339">
        <f t="shared" si="2"/>
        <v>175.46537602382725</v>
      </c>
      <c r="K18" s="299">
        <f>SUM(K19:K27)</f>
        <v>339.5</v>
      </c>
      <c r="L18" s="300">
        <f>SUM(L19:L27)</f>
        <v>416.4</v>
      </c>
      <c r="M18" s="355">
        <f t="shared" si="3"/>
        <v>76.89999999999998</v>
      </c>
      <c r="N18" s="339">
        <f t="shared" si="4"/>
        <v>122.65095729013254</v>
      </c>
      <c r="O18" s="299">
        <f>SUM(O19:O27)</f>
        <v>89.89999999999999</v>
      </c>
      <c r="P18" s="300">
        <f>SUM(P19:P27)</f>
        <v>42.5</v>
      </c>
      <c r="Q18" s="355">
        <f t="shared" si="5"/>
        <v>-47.39999999999999</v>
      </c>
      <c r="R18" s="339">
        <f t="shared" si="6"/>
        <v>47.27474972191324</v>
      </c>
      <c r="S18" s="299">
        <f>SUM(S19:S27)</f>
        <v>570.3000000000001</v>
      </c>
      <c r="T18" s="300">
        <f>SUM(T19:T27)</f>
        <v>903.1</v>
      </c>
      <c r="U18" s="355">
        <f t="shared" si="7"/>
        <v>332.79999999999995</v>
      </c>
      <c r="V18" s="339">
        <f t="shared" si="8"/>
        <v>158.35525162195333</v>
      </c>
      <c r="W18" s="299">
        <f>SUM(W19:W27)</f>
        <v>279.3</v>
      </c>
      <c r="X18" s="300">
        <f>SUM(X19:X27)</f>
        <v>356.5</v>
      </c>
      <c r="Y18" s="355">
        <f t="shared" si="9"/>
        <v>77.19999999999999</v>
      </c>
      <c r="Z18" s="339">
        <f t="shared" si="10"/>
        <v>127.64052989616899</v>
      </c>
      <c r="AA18" s="299">
        <f>SUM(AA19:AA27)</f>
        <v>426.20000000000005</v>
      </c>
      <c r="AB18" s="300">
        <f>SUM(AB19:AB27)</f>
        <v>428.1</v>
      </c>
      <c r="AC18" s="355">
        <f t="shared" si="11"/>
        <v>1.8999999999999773</v>
      </c>
      <c r="AD18" s="339">
        <f t="shared" si="12"/>
        <v>100.44580009385264</v>
      </c>
      <c r="AE18" s="299">
        <f>SUM(AE19:AE27)</f>
        <v>104.9</v>
      </c>
      <c r="AF18" s="300">
        <f>SUM(AF19:AF27)</f>
        <v>89.9</v>
      </c>
      <c r="AG18" s="355">
        <f t="shared" si="13"/>
        <v>-15</v>
      </c>
      <c r="AH18" s="339">
        <f t="shared" si="14"/>
        <v>85.70066730219257</v>
      </c>
      <c r="AI18" s="299">
        <f>SUM(AI19:AI27)</f>
        <v>375.09999999999997</v>
      </c>
      <c r="AJ18" s="300">
        <f>SUM(AJ19:AJ27)</f>
        <v>498.70000000000005</v>
      </c>
      <c r="AK18" s="355">
        <f t="shared" si="15"/>
        <v>123.60000000000008</v>
      </c>
      <c r="AL18" s="339">
        <f t="shared" si="16"/>
        <v>132.95121300986406</v>
      </c>
      <c r="AM18" s="299">
        <f>SUM(AM19:AM27)</f>
        <v>77.4</v>
      </c>
      <c r="AN18" s="300">
        <f>SUM(AN19:AN27)</f>
        <v>83.80000000000001</v>
      </c>
      <c r="AO18" s="355">
        <f t="shared" si="17"/>
        <v>6.400000000000006</v>
      </c>
      <c r="AP18" s="339">
        <f t="shared" si="18"/>
        <v>108.26873385012921</v>
      </c>
      <c r="AQ18" s="299">
        <f>SUM(AQ19:AQ27)</f>
        <v>377.09999999999997</v>
      </c>
      <c r="AR18" s="300">
        <f>SUM(AR19:AR27)</f>
        <v>392.6</v>
      </c>
      <c r="AS18" s="355">
        <f t="shared" si="19"/>
        <v>15.500000000000057</v>
      </c>
      <c r="AT18" s="339">
        <f t="shared" si="20"/>
        <v>104.11031556616284</v>
      </c>
      <c r="AU18" s="299">
        <f>SUM(AU19:AU27)</f>
        <v>2068.6</v>
      </c>
      <c r="AV18" s="300">
        <f>SUM(AV19:AV27)</f>
        <v>1975.7</v>
      </c>
      <c r="AW18" s="288">
        <f t="shared" si="26"/>
        <v>-92.89999999999986</v>
      </c>
      <c r="AX18" s="339">
        <f t="shared" si="21"/>
        <v>95.5090399303877</v>
      </c>
      <c r="AY18" s="359">
        <f>SUM(AY19:AY27)</f>
        <v>850.5999999999999</v>
      </c>
      <c r="AZ18" s="281">
        <f t="shared" si="0"/>
        <v>16681.399999999998</v>
      </c>
      <c r="BA18" s="301">
        <f t="shared" si="0"/>
        <v>20835.899999999998</v>
      </c>
      <c r="BB18" s="355">
        <f t="shared" si="22"/>
        <v>4154.5</v>
      </c>
      <c r="BC18" s="355">
        <f t="shared" si="23"/>
        <v>124.90498399414918</v>
      </c>
    </row>
    <row r="19" spans="1:55" s="134" customFormat="1" ht="12.75">
      <c r="A19" s="132" t="s">
        <v>70</v>
      </c>
      <c r="B19" s="133"/>
      <c r="C19" s="302">
        <v>4566.7</v>
      </c>
      <c r="D19" s="303">
        <v>5598.5</v>
      </c>
      <c r="E19" s="288">
        <f t="shared" si="24"/>
        <v>1031.8000000000002</v>
      </c>
      <c r="F19" s="338">
        <f t="shared" si="25"/>
        <v>122.59399566426524</v>
      </c>
      <c r="G19" s="304">
        <v>239.3</v>
      </c>
      <c r="H19" s="303">
        <v>438.5</v>
      </c>
      <c r="I19" s="355">
        <f t="shared" si="1"/>
        <v>199.2</v>
      </c>
      <c r="J19" s="339">
        <f t="shared" si="2"/>
        <v>183.2427914751358</v>
      </c>
      <c r="K19" s="302">
        <v>112.2</v>
      </c>
      <c r="L19" s="303">
        <v>148.1</v>
      </c>
      <c r="M19" s="355">
        <f t="shared" si="3"/>
        <v>35.89999999999999</v>
      </c>
      <c r="N19" s="339">
        <f t="shared" si="4"/>
        <v>131.99643493761138</v>
      </c>
      <c r="O19" s="302">
        <v>32.9</v>
      </c>
      <c r="P19" s="303">
        <v>14.2</v>
      </c>
      <c r="Q19" s="355">
        <f t="shared" si="5"/>
        <v>-18.7</v>
      </c>
      <c r="R19" s="339">
        <f t="shared" si="6"/>
        <v>43.161094224924014</v>
      </c>
      <c r="S19" s="302">
        <v>356.1</v>
      </c>
      <c r="T19" s="303">
        <v>390.4</v>
      </c>
      <c r="U19" s="355">
        <f t="shared" si="7"/>
        <v>34.299999999999955</v>
      </c>
      <c r="V19" s="339">
        <f t="shared" si="8"/>
        <v>109.63212580735745</v>
      </c>
      <c r="W19" s="302"/>
      <c r="X19" s="303"/>
      <c r="Y19" s="355">
        <f t="shared" si="9"/>
        <v>0</v>
      </c>
      <c r="Z19" s="339"/>
      <c r="AA19" s="302">
        <v>420.8</v>
      </c>
      <c r="AB19" s="303">
        <v>420.1</v>
      </c>
      <c r="AC19" s="355">
        <f t="shared" si="11"/>
        <v>-0.6999999999999886</v>
      </c>
      <c r="AD19" s="339">
        <f t="shared" si="12"/>
        <v>99.83365019011407</v>
      </c>
      <c r="AE19" s="302">
        <v>74.4</v>
      </c>
      <c r="AF19" s="303">
        <v>62.2</v>
      </c>
      <c r="AG19" s="355">
        <f t="shared" si="13"/>
        <v>-12.200000000000003</v>
      </c>
      <c r="AH19" s="339">
        <f t="shared" si="14"/>
        <v>83.6021505376344</v>
      </c>
      <c r="AI19" s="302"/>
      <c r="AJ19" s="303"/>
      <c r="AK19" s="355">
        <f t="shared" si="15"/>
        <v>0</v>
      </c>
      <c r="AL19" s="339" t="e">
        <f t="shared" si="16"/>
        <v>#DIV/0!</v>
      </c>
      <c r="AM19" s="302"/>
      <c r="AN19" s="303"/>
      <c r="AO19" s="355">
        <f t="shared" si="17"/>
        <v>0</v>
      </c>
      <c r="AP19" s="339"/>
      <c r="AQ19" s="302">
        <v>172.4</v>
      </c>
      <c r="AR19" s="303">
        <v>177.8</v>
      </c>
      <c r="AS19" s="355">
        <f t="shared" si="19"/>
        <v>5.400000000000006</v>
      </c>
      <c r="AT19" s="339">
        <f t="shared" si="20"/>
        <v>103.1322505800464</v>
      </c>
      <c r="AU19" s="302">
        <v>194.9</v>
      </c>
      <c r="AV19" s="303">
        <v>199.2</v>
      </c>
      <c r="AW19" s="288">
        <f t="shared" si="26"/>
        <v>4.299999999999983</v>
      </c>
      <c r="AX19" s="339">
        <f t="shared" si="21"/>
        <v>102.20625962031811</v>
      </c>
      <c r="AY19" s="360">
        <v>123.7</v>
      </c>
      <c r="AZ19" s="290">
        <f t="shared" si="0"/>
        <v>6169.699999999999</v>
      </c>
      <c r="BA19" s="305">
        <f t="shared" si="0"/>
        <v>7449</v>
      </c>
      <c r="BB19" s="355">
        <f t="shared" si="22"/>
        <v>1279.300000000001</v>
      </c>
      <c r="BC19" s="355">
        <f t="shared" si="23"/>
        <v>120.73520592573385</v>
      </c>
    </row>
    <row r="20" spans="1:55" ht="12.75">
      <c r="A20" s="135" t="s">
        <v>36</v>
      </c>
      <c r="B20" s="136"/>
      <c r="C20" s="302">
        <v>1540.3</v>
      </c>
      <c r="D20" s="306">
        <v>1779.5</v>
      </c>
      <c r="E20" s="288">
        <f t="shared" si="24"/>
        <v>239.20000000000005</v>
      </c>
      <c r="F20" s="338">
        <f t="shared" si="25"/>
        <v>115.52944231643187</v>
      </c>
      <c r="G20" s="304">
        <v>5</v>
      </c>
      <c r="H20" s="306">
        <v>14.5</v>
      </c>
      <c r="I20" s="355">
        <f t="shared" si="1"/>
        <v>9.5</v>
      </c>
      <c r="J20" s="339">
        <f t="shared" si="2"/>
        <v>290</v>
      </c>
      <c r="K20" s="302">
        <v>19.9</v>
      </c>
      <c r="L20" s="306">
        <v>19.9</v>
      </c>
      <c r="M20" s="355">
        <f t="shared" si="3"/>
        <v>0</v>
      </c>
      <c r="N20" s="339">
        <f t="shared" si="4"/>
        <v>100</v>
      </c>
      <c r="O20" s="302"/>
      <c r="P20" s="306"/>
      <c r="Q20" s="355">
        <f t="shared" si="5"/>
        <v>0</v>
      </c>
      <c r="R20" s="339"/>
      <c r="S20" s="302"/>
      <c r="T20" s="306"/>
      <c r="U20" s="355">
        <f t="shared" si="7"/>
        <v>0</v>
      </c>
      <c r="V20" s="339"/>
      <c r="W20" s="302">
        <v>26.9</v>
      </c>
      <c r="X20" s="306">
        <v>26.7</v>
      </c>
      <c r="Y20" s="355">
        <f t="shared" si="9"/>
        <v>-0.1999999999999993</v>
      </c>
      <c r="Z20" s="339">
        <f t="shared" si="10"/>
        <v>99.25650557620817</v>
      </c>
      <c r="AA20" s="302"/>
      <c r="AB20" s="306"/>
      <c r="AC20" s="355">
        <f t="shared" si="11"/>
        <v>0</v>
      </c>
      <c r="AD20" s="339"/>
      <c r="AE20" s="302"/>
      <c r="AF20" s="306"/>
      <c r="AG20" s="355">
        <f t="shared" si="13"/>
        <v>0</v>
      </c>
      <c r="AH20" s="339"/>
      <c r="AI20" s="302"/>
      <c r="AJ20" s="306"/>
      <c r="AK20" s="355">
        <f t="shared" si="15"/>
        <v>0</v>
      </c>
      <c r="AL20" s="339"/>
      <c r="AM20" s="302">
        <v>53</v>
      </c>
      <c r="AN20" s="306">
        <v>58.9</v>
      </c>
      <c r="AO20" s="355">
        <f t="shared" si="17"/>
        <v>5.899999999999999</v>
      </c>
      <c r="AP20" s="339">
        <f t="shared" si="18"/>
        <v>111.1320754716981</v>
      </c>
      <c r="AQ20" s="302">
        <v>10</v>
      </c>
      <c r="AR20" s="306">
        <v>10.1</v>
      </c>
      <c r="AS20" s="355">
        <f t="shared" si="19"/>
        <v>0.09999999999999964</v>
      </c>
      <c r="AT20" s="339">
        <f t="shared" si="20"/>
        <v>101</v>
      </c>
      <c r="AU20" s="302">
        <v>319.1</v>
      </c>
      <c r="AV20" s="306">
        <v>319.1</v>
      </c>
      <c r="AW20" s="288">
        <f t="shared" si="26"/>
        <v>0</v>
      </c>
      <c r="AX20" s="339">
        <f t="shared" si="21"/>
        <v>100</v>
      </c>
      <c r="AY20" s="360">
        <v>180.2</v>
      </c>
      <c r="AZ20" s="290">
        <f t="shared" si="0"/>
        <v>1974.2000000000003</v>
      </c>
      <c r="BA20" s="305">
        <f t="shared" si="0"/>
        <v>2228.7000000000003</v>
      </c>
      <c r="BB20" s="355">
        <f t="shared" si="22"/>
        <v>254.5</v>
      </c>
      <c r="BC20" s="355">
        <f t="shared" si="23"/>
        <v>112.89129774085704</v>
      </c>
    </row>
    <row r="21" spans="1:55" ht="12.75">
      <c r="A21" s="135" t="s">
        <v>71</v>
      </c>
      <c r="B21" s="136"/>
      <c r="C21" s="302">
        <v>81.1</v>
      </c>
      <c r="D21" s="306">
        <v>81.1</v>
      </c>
      <c r="E21" s="288">
        <f t="shared" si="24"/>
        <v>0</v>
      </c>
      <c r="F21" s="338">
        <f t="shared" si="25"/>
        <v>100</v>
      </c>
      <c r="G21" s="304"/>
      <c r="H21" s="306"/>
      <c r="I21" s="355">
        <f t="shared" si="1"/>
        <v>0</v>
      </c>
      <c r="J21" s="339"/>
      <c r="K21" s="302"/>
      <c r="L21" s="306"/>
      <c r="M21" s="355">
        <f t="shared" si="3"/>
        <v>0</v>
      </c>
      <c r="N21" s="339"/>
      <c r="O21" s="302"/>
      <c r="P21" s="306"/>
      <c r="Q21" s="355">
        <f t="shared" si="5"/>
        <v>0</v>
      </c>
      <c r="R21" s="339"/>
      <c r="S21" s="302"/>
      <c r="T21" s="306"/>
      <c r="U21" s="355">
        <f t="shared" si="7"/>
        <v>0</v>
      </c>
      <c r="V21" s="339"/>
      <c r="W21" s="302"/>
      <c r="X21" s="306"/>
      <c r="Y21" s="355">
        <f t="shared" si="9"/>
        <v>0</v>
      </c>
      <c r="Z21" s="339"/>
      <c r="AA21" s="302"/>
      <c r="AB21" s="306"/>
      <c r="AC21" s="355">
        <f t="shared" si="11"/>
        <v>0</v>
      </c>
      <c r="AD21" s="339"/>
      <c r="AE21" s="302"/>
      <c r="AF21" s="306"/>
      <c r="AG21" s="355">
        <f t="shared" si="13"/>
        <v>0</v>
      </c>
      <c r="AH21" s="339"/>
      <c r="AI21" s="302"/>
      <c r="AJ21" s="306"/>
      <c r="AK21" s="355">
        <f t="shared" si="15"/>
        <v>0</v>
      </c>
      <c r="AL21" s="339"/>
      <c r="AM21" s="302"/>
      <c r="AN21" s="306"/>
      <c r="AO21" s="355">
        <f t="shared" si="17"/>
        <v>0</v>
      </c>
      <c r="AP21" s="339"/>
      <c r="AQ21" s="302"/>
      <c r="AR21" s="306"/>
      <c r="AS21" s="355">
        <f t="shared" si="19"/>
        <v>0</v>
      </c>
      <c r="AT21" s="339"/>
      <c r="AU21" s="302"/>
      <c r="AV21" s="306"/>
      <c r="AW21" s="288">
        <f t="shared" si="26"/>
        <v>0</v>
      </c>
      <c r="AX21" s="339"/>
      <c r="AY21" s="360"/>
      <c r="AZ21" s="290">
        <f t="shared" si="0"/>
        <v>81.1</v>
      </c>
      <c r="BA21" s="305">
        <f t="shared" si="0"/>
        <v>81.1</v>
      </c>
      <c r="BB21" s="355">
        <f t="shared" si="22"/>
        <v>0</v>
      </c>
      <c r="BC21" s="355">
        <f t="shared" si="23"/>
        <v>100</v>
      </c>
    </row>
    <row r="22" spans="1:55" ht="12.75">
      <c r="A22" s="137" t="s">
        <v>72</v>
      </c>
      <c r="B22" s="136"/>
      <c r="C22" s="302">
        <v>854</v>
      </c>
      <c r="D22" s="306">
        <v>1015.5</v>
      </c>
      <c r="E22" s="288">
        <f t="shared" si="24"/>
        <v>161.5</v>
      </c>
      <c r="F22" s="338">
        <f t="shared" si="25"/>
        <v>118.91100702576112</v>
      </c>
      <c r="G22" s="304">
        <v>12</v>
      </c>
      <c r="H22" s="306">
        <v>4.2</v>
      </c>
      <c r="I22" s="355">
        <f t="shared" si="1"/>
        <v>-7.8</v>
      </c>
      <c r="J22" s="339">
        <f t="shared" si="2"/>
        <v>35</v>
      </c>
      <c r="K22" s="302">
        <v>172.5</v>
      </c>
      <c r="L22" s="306">
        <v>210.5</v>
      </c>
      <c r="M22" s="355">
        <f t="shared" si="3"/>
        <v>38</v>
      </c>
      <c r="N22" s="339">
        <f t="shared" si="4"/>
        <v>122.02898550724638</v>
      </c>
      <c r="O22" s="302">
        <v>16.7</v>
      </c>
      <c r="P22" s="306">
        <v>10.4</v>
      </c>
      <c r="Q22" s="355">
        <f t="shared" si="5"/>
        <v>-6.299999999999999</v>
      </c>
      <c r="R22" s="339">
        <f t="shared" si="6"/>
        <v>62.27544910179641</v>
      </c>
      <c r="S22" s="302"/>
      <c r="T22" s="306"/>
      <c r="U22" s="355">
        <f t="shared" si="7"/>
        <v>0</v>
      </c>
      <c r="V22" s="339"/>
      <c r="W22" s="302">
        <v>221.6</v>
      </c>
      <c r="X22" s="306">
        <v>245.4</v>
      </c>
      <c r="Y22" s="355">
        <f t="shared" si="9"/>
        <v>23.80000000000001</v>
      </c>
      <c r="Z22" s="339">
        <f t="shared" si="10"/>
        <v>110.74007220216606</v>
      </c>
      <c r="AA22" s="302"/>
      <c r="AB22" s="306"/>
      <c r="AC22" s="355">
        <f t="shared" si="11"/>
        <v>0</v>
      </c>
      <c r="AD22" s="339"/>
      <c r="AE22" s="302"/>
      <c r="AF22" s="306"/>
      <c r="AG22" s="355">
        <f t="shared" si="13"/>
        <v>0</v>
      </c>
      <c r="AH22" s="339"/>
      <c r="AI22" s="302">
        <v>5.5</v>
      </c>
      <c r="AJ22" s="306">
        <v>6.7</v>
      </c>
      <c r="AK22" s="355">
        <f t="shared" si="15"/>
        <v>1.2000000000000002</v>
      </c>
      <c r="AL22" s="339">
        <f t="shared" si="16"/>
        <v>121.81818181818183</v>
      </c>
      <c r="AM22" s="302"/>
      <c r="AN22" s="306"/>
      <c r="AO22" s="355">
        <f t="shared" si="17"/>
        <v>0</v>
      </c>
      <c r="AP22" s="339"/>
      <c r="AQ22" s="302">
        <v>160.5</v>
      </c>
      <c r="AR22" s="306">
        <v>170.8</v>
      </c>
      <c r="AS22" s="355">
        <f t="shared" si="19"/>
        <v>10.300000000000011</v>
      </c>
      <c r="AT22" s="339">
        <f t="shared" si="20"/>
        <v>106.41744548286604</v>
      </c>
      <c r="AU22" s="302">
        <v>457.1</v>
      </c>
      <c r="AV22" s="306">
        <v>354.4</v>
      </c>
      <c r="AW22" s="288">
        <f t="shared" si="26"/>
        <v>-102.70000000000005</v>
      </c>
      <c r="AX22" s="339">
        <f t="shared" si="21"/>
        <v>77.53226865018594</v>
      </c>
      <c r="AY22" s="360">
        <v>390</v>
      </c>
      <c r="AZ22" s="290">
        <f t="shared" si="0"/>
        <v>1899.9</v>
      </c>
      <c r="BA22" s="305">
        <f t="shared" si="0"/>
        <v>2017.9</v>
      </c>
      <c r="BB22" s="355">
        <f t="shared" si="22"/>
        <v>118</v>
      </c>
      <c r="BC22" s="355">
        <f t="shared" si="23"/>
        <v>106.21085320280015</v>
      </c>
    </row>
    <row r="23" spans="1:55" ht="12.75">
      <c r="A23" s="137" t="s">
        <v>73</v>
      </c>
      <c r="B23" s="136"/>
      <c r="C23" s="302"/>
      <c r="D23" s="306">
        <v>67.3</v>
      </c>
      <c r="E23" s="288">
        <f t="shared" si="24"/>
        <v>67.3</v>
      </c>
      <c r="F23" s="338"/>
      <c r="G23" s="304">
        <v>5.5</v>
      </c>
      <c r="H23" s="306">
        <v>5.5</v>
      </c>
      <c r="I23" s="355">
        <f t="shared" si="1"/>
        <v>0</v>
      </c>
      <c r="J23" s="339">
        <f t="shared" si="2"/>
        <v>100</v>
      </c>
      <c r="K23" s="302">
        <v>12.2</v>
      </c>
      <c r="L23" s="306">
        <v>12.2</v>
      </c>
      <c r="M23" s="355">
        <f t="shared" si="3"/>
        <v>0</v>
      </c>
      <c r="N23" s="339">
        <f t="shared" si="4"/>
        <v>100</v>
      </c>
      <c r="O23" s="302">
        <v>14.3</v>
      </c>
      <c r="P23" s="306">
        <v>13.1</v>
      </c>
      <c r="Q23" s="355">
        <f t="shared" si="5"/>
        <v>-1.200000000000001</v>
      </c>
      <c r="R23" s="339">
        <f t="shared" si="6"/>
        <v>91.6083916083916</v>
      </c>
      <c r="S23" s="302"/>
      <c r="T23" s="306">
        <v>11</v>
      </c>
      <c r="U23" s="355">
        <f t="shared" si="7"/>
        <v>11</v>
      </c>
      <c r="V23" s="339"/>
      <c r="W23" s="302"/>
      <c r="X23" s="306">
        <v>18.9</v>
      </c>
      <c r="Y23" s="355">
        <f t="shared" si="9"/>
        <v>18.9</v>
      </c>
      <c r="Z23" s="339"/>
      <c r="AA23" s="302">
        <v>5.1</v>
      </c>
      <c r="AB23" s="306">
        <v>7.7</v>
      </c>
      <c r="AC23" s="355">
        <f t="shared" si="11"/>
        <v>2.6000000000000005</v>
      </c>
      <c r="AD23" s="339"/>
      <c r="AE23" s="302"/>
      <c r="AF23" s="306">
        <v>8.2</v>
      </c>
      <c r="AG23" s="355">
        <f t="shared" si="13"/>
        <v>8.2</v>
      </c>
      <c r="AH23" s="339"/>
      <c r="AI23" s="302">
        <v>20.7</v>
      </c>
      <c r="AJ23" s="306">
        <v>20.7</v>
      </c>
      <c r="AK23" s="355">
        <f t="shared" si="15"/>
        <v>0</v>
      </c>
      <c r="AL23" s="339">
        <f t="shared" si="16"/>
        <v>100</v>
      </c>
      <c r="AM23" s="302">
        <v>7.3</v>
      </c>
      <c r="AN23" s="306">
        <v>7.3</v>
      </c>
      <c r="AO23" s="355">
        <f t="shared" si="17"/>
        <v>0</v>
      </c>
      <c r="AP23" s="339"/>
      <c r="AQ23" s="302">
        <v>6</v>
      </c>
      <c r="AR23" s="306">
        <v>5.9</v>
      </c>
      <c r="AS23" s="355">
        <f t="shared" si="19"/>
        <v>-0.09999999999999964</v>
      </c>
      <c r="AT23" s="339">
        <f t="shared" si="20"/>
        <v>98.33333333333334</v>
      </c>
      <c r="AU23" s="302">
        <v>20.7</v>
      </c>
      <c r="AV23" s="306">
        <v>22.2</v>
      </c>
      <c r="AW23" s="288">
        <f t="shared" si="26"/>
        <v>1.5</v>
      </c>
      <c r="AX23" s="339">
        <f t="shared" si="21"/>
        <v>107.24637681159422</v>
      </c>
      <c r="AY23" s="360">
        <v>21</v>
      </c>
      <c r="AZ23" s="290">
        <f t="shared" si="0"/>
        <v>91.8</v>
      </c>
      <c r="BA23" s="305">
        <f t="shared" si="0"/>
        <v>199.99999999999997</v>
      </c>
      <c r="BB23" s="355">
        <f t="shared" si="22"/>
        <v>108.19999999999997</v>
      </c>
      <c r="BC23" s="355">
        <f t="shared" si="23"/>
        <v>217.8649237472767</v>
      </c>
    </row>
    <row r="24" spans="1:55" ht="12.75">
      <c r="A24" s="135" t="s">
        <v>74</v>
      </c>
      <c r="B24" s="136"/>
      <c r="C24" s="302">
        <v>2416</v>
      </c>
      <c r="D24" s="306">
        <v>3558.6</v>
      </c>
      <c r="E24" s="288">
        <f t="shared" si="24"/>
        <v>1142.6</v>
      </c>
      <c r="F24" s="338"/>
      <c r="G24" s="304"/>
      <c r="H24" s="306"/>
      <c r="I24" s="355">
        <f t="shared" si="1"/>
        <v>0</v>
      </c>
      <c r="J24" s="339"/>
      <c r="K24" s="302">
        <v>7</v>
      </c>
      <c r="L24" s="306">
        <v>7</v>
      </c>
      <c r="M24" s="355">
        <f t="shared" si="3"/>
        <v>0</v>
      </c>
      <c r="N24" s="339">
        <f t="shared" si="4"/>
        <v>100</v>
      </c>
      <c r="O24" s="302"/>
      <c r="P24" s="306"/>
      <c r="Q24" s="355">
        <f t="shared" si="5"/>
        <v>0</v>
      </c>
      <c r="R24" s="339"/>
      <c r="S24" s="302"/>
      <c r="T24" s="306"/>
      <c r="U24" s="355">
        <f t="shared" si="7"/>
        <v>0</v>
      </c>
      <c r="V24" s="339"/>
      <c r="W24" s="302"/>
      <c r="X24" s="306"/>
      <c r="Y24" s="355">
        <f t="shared" si="9"/>
        <v>0</v>
      </c>
      <c r="Z24" s="339"/>
      <c r="AA24" s="302"/>
      <c r="AB24" s="306"/>
      <c r="AC24" s="355">
        <f t="shared" si="11"/>
        <v>0</v>
      </c>
      <c r="AD24" s="339"/>
      <c r="AE24" s="302"/>
      <c r="AF24" s="306"/>
      <c r="AG24" s="355">
        <f t="shared" si="13"/>
        <v>0</v>
      </c>
      <c r="AH24" s="339"/>
      <c r="AI24" s="302">
        <v>12.7</v>
      </c>
      <c r="AJ24" s="306">
        <v>12.7</v>
      </c>
      <c r="AK24" s="355">
        <f t="shared" si="15"/>
        <v>0</v>
      </c>
      <c r="AL24" s="339"/>
      <c r="AM24" s="302">
        <v>11.4</v>
      </c>
      <c r="AN24" s="306">
        <v>11.4</v>
      </c>
      <c r="AO24" s="355">
        <f t="shared" si="17"/>
        <v>0</v>
      </c>
      <c r="AP24" s="339"/>
      <c r="AQ24" s="302"/>
      <c r="AR24" s="306"/>
      <c r="AS24" s="355">
        <f t="shared" si="19"/>
        <v>0</v>
      </c>
      <c r="AT24" s="339"/>
      <c r="AU24" s="302">
        <v>810.4</v>
      </c>
      <c r="AV24" s="306">
        <v>810.4</v>
      </c>
      <c r="AW24" s="288">
        <f t="shared" si="26"/>
        <v>0</v>
      </c>
      <c r="AX24" s="339">
        <f t="shared" si="21"/>
        <v>100</v>
      </c>
      <c r="AY24" s="360"/>
      <c r="AZ24" s="290">
        <f t="shared" si="0"/>
        <v>3257.5</v>
      </c>
      <c r="BA24" s="305">
        <f t="shared" si="0"/>
        <v>4400.099999999999</v>
      </c>
      <c r="BB24" s="355">
        <f t="shared" si="22"/>
        <v>1142.5999999999995</v>
      </c>
      <c r="BC24" s="355">
        <f t="shared" si="23"/>
        <v>135.07597851112817</v>
      </c>
    </row>
    <row r="25" spans="1:55" ht="12.75">
      <c r="A25" s="138" t="s">
        <v>75</v>
      </c>
      <c r="B25" s="139"/>
      <c r="C25" s="307">
        <v>1563.8</v>
      </c>
      <c r="D25" s="308">
        <v>1940.7</v>
      </c>
      <c r="E25" s="288">
        <f t="shared" si="24"/>
        <v>376.9000000000001</v>
      </c>
      <c r="F25" s="338"/>
      <c r="G25" s="309"/>
      <c r="H25" s="308"/>
      <c r="I25" s="355">
        <f t="shared" si="1"/>
        <v>0</v>
      </c>
      <c r="J25" s="339"/>
      <c r="K25" s="307"/>
      <c r="L25" s="308"/>
      <c r="M25" s="355">
        <f t="shared" si="3"/>
        <v>0</v>
      </c>
      <c r="N25" s="339"/>
      <c r="O25" s="307"/>
      <c r="P25" s="308"/>
      <c r="Q25" s="355">
        <f t="shared" si="5"/>
        <v>0</v>
      </c>
      <c r="R25" s="339"/>
      <c r="S25" s="307">
        <v>209</v>
      </c>
      <c r="T25" s="308">
        <v>559.2</v>
      </c>
      <c r="U25" s="355">
        <f t="shared" si="7"/>
        <v>350.20000000000005</v>
      </c>
      <c r="V25" s="339"/>
      <c r="W25" s="307"/>
      <c r="X25" s="308"/>
      <c r="Y25" s="355">
        <f t="shared" si="9"/>
        <v>0</v>
      </c>
      <c r="Z25" s="339"/>
      <c r="AA25" s="307"/>
      <c r="AB25" s="308"/>
      <c r="AC25" s="355">
        <f t="shared" si="11"/>
        <v>0</v>
      </c>
      <c r="AD25" s="339"/>
      <c r="AE25" s="307"/>
      <c r="AF25" s="308"/>
      <c r="AG25" s="355">
        <f t="shared" si="13"/>
        <v>0</v>
      </c>
      <c r="AH25" s="339"/>
      <c r="AI25" s="307"/>
      <c r="AJ25" s="308"/>
      <c r="AK25" s="355">
        <f t="shared" si="15"/>
        <v>0</v>
      </c>
      <c r="AL25" s="339"/>
      <c r="AM25" s="307"/>
      <c r="AN25" s="308"/>
      <c r="AO25" s="355">
        <f t="shared" si="17"/>
        <v>0</v>
      </c>
      <c r="AP25" s="339"/>
      <c r="AQ25" s="307"/>
      <c r="AR25" s="308"/>
      <c r="AS25" s="355">
        <f t="shared" si="19"/>
        <v>0</v>
      </c>
      <c r="AT25" s="339"/>
      <c r="AU25" s="307">
        <v>10.7</v>
      </c>
      <c r="AV25" s="308">
        <v>10.7</v>
      </c>
      <c r="AW25" s="288">
        <f t="shared" si="26"/>
        <v>0</v>
      </c>
      <c r="AX25" s="339">
        <f t="shared" si="21"/>
        <v>100</v>
      </c>
      <c r="AY25" s="361"/>
      <c r="AZ25" s="290">
        <f t="shared" si="0"/>
        <v>1783.5</v>
      </c>
      <c r="BA25" s="305">
        <f t="shared" si="0"/>
        <v>2510.6</v>
      </c>
      <c r="BB25" s="355">
        <f t="shared" si="22"/>
        <v>727.0999999999999</v>
      </c>
      <c r="BC25" s="355"/>
    </row>
    <row r="26" spans="1:55" ht="12.75">
      <c r="A26" s="137" t="s">
        <v>76</v>
      </c>
      <c r="B26" s="140"/>
      <c r="C26" s="286"/>
      <c r="D26" s="287"/>
      <c r="E26" s="288">
        <f t="shared" si="24"/>
        <v>0</v>
      </c>
      <c r="F26" s="338"/>
      <c r="G26" s="289"/>
      <c r="H26" s="287"/>
      <c r="I26" s="355">
        <f t="shared" si="1"/>
        <v>0</v>
      </c>
      <c r="J26" s="339"/>
      <c r="K26" s="286"/>
      <c r="L26" s="287"/>
      <c r="M26" s="355">
        <f t="shared" si="3"/>
        <v>0</v>
      </c>
      <c r="N26" s="339"/>
      <c r="O26" s="286"/>
      <c r="P26" s="287">
        <v>-1.5</v>
      </c>
      <c r="Q26" s="355">
        <f t="shared" si="5"/>
        <v>-1.5</v>
      </c>
      <c r="R26" s="339"/>
      <c r="S26" s="286"/>
      <c r="T26" s="287">
        <v>-57.5</v>
      </c>
      <c r="U26" s="355">
        <f t="shared" si="7"/>
        <v>-57.5</v>
      </c>
      <c r="V26" s="339"/>
      <c r="W26" s="286"/>
      <c r="X26" s="287"/>
      <c r="Y26" s="355">
        <f t="shared" si="9"/>
        <v>0</v>
      </c>
      <c r="Z26" s="339"/>
      <c r="AA26" s="286"/>
      <c r="AB26" s="287"/>
      <c r="AC26" s="355">
        <f t="shared" si="11"/>
        <v>0</v>
      </c>
      <c r="AD26" s="339"/>
      <c r="AE26" s="286"/>
      <c r="AF26" s="287"/>
      <c r="AG26" s="355">
        <f t="shared" si="13"/>
        <v>0</v>
      </c>
      <c r="AH26" s="339"/>
      <c r="AI26" s="286"/>
      <c r="AJ26" s="287"/>
      <c r="AK26" s="355">
        <f t="shared" si="15"/>
        <v>0</v>
      </c>
      <c r="AL26" s="339"/>
      <c r="AM26" s="286"/>
      <c r="AN26" s="287"/>
      <c r="AO26" s="355">
        <f t="shared" si="17"/>
        <v>0</v>
      </c>
      <c r="AP26" s="339"/>
      <c r="AQ26" s="286"/>
      <c r="AR26" s="287"/>
      <c r="AS26" s="355">
        <f t="shared" si="19"/>
        <v>0</v>
      </c>
      <c r="AT26" s="339"/>
      <c r="AU26" s="286"/>
      <c r="AV26" s="287"/>
      <c r="AW26" s="288">
        <f t="shared" si="26"/>
        <v>0</v>
      </c>
      <c r="AX26" s="339"/>
      <c r="AY26" s="356"/>
      <c r="AZ26" s="290">
        <f t="shared" si="0"/>
        <v>0</v>
      </c>
      <c r="BA26" s="305">
        <f t="shared" si="0"/>
        <v>-59</v>
      </c>
      <c r="BB26" s="355">
        <f t="shared" si="22"/>
        <v>-59</v>
      </c>
      <c r="BC26" s="355"/>
    </row>
    <row r="27" spans="1:55" ht="12.75">
      <c r="A27" s="137" t="s">
        <v>77</v>
      </c>
      <c r="B27" s="140"/>
      <c r="C27" s="286">
        <v>682.6</v>
      </c>
      <c r="D27" s="287">
        <v>1136.1</v>
      </c>
      <c r="E27" s="288">
        <f t="shared" si="24"/>
        <v>453.4999999999999</v>
      </c>
      <c r="F27" s="338">
        <f t="shared" si="25"/>
        <v>166.43715206563138</v>
      </c>
      <c r="G27" s="289">
        <v>6.8</v>
      </c>
      <c r="H27" s="287">
        <v>8.6</v>
      </c>
      <c r="I27" s="355">
        <f t="shared" si="1"/>
        <v>1.7999999999999998</v>
      </c>
      <c r="J27" s="339">
        <f t="shared" si="2"/>
        <v>126.47058823529412</v>
      </c>
      <c r="K27" s="286">
        <v>15.7</v>
      </c>
      <c r="L27" s="287">
        <v>18.7</v>
      </c>
      <c r="M27" s="355">
        <f t="shared" si="3"/>
        <v>3</v>
      </c>
      <c r="N27" s="339">
        <f t="shared" si="4"/>
        <v>119.10828025477707</v>
      </c>
      <c r="O27" s="286">
        <v>26</v>
      </c>
      <c r="P27" s="287">
        <v>6.3</v>
      </c>
      <c r="Q27" s="355">
        <f t="shared" si="5"/>
        <v>-19.7</v>
      </c>
      <c r="R27" s="339">
        <f t="shared" si="6"/>
        <v>24.23076923076923</v>
      </c>
      <c r="S27" s="286">
        <v>5.2</v>
      </c>
      <c r="T27" s="287"/>
      <c r="U27" s="355">
        <f t="shared" si="7"/>
        <v>-5.2</v>
      </c>
      <c r="V27" s="339">
        <f t="shared" si="8"/>
        <v>0</v>
      </c>
      <c r="W27" s="286">
        <v>30.8</v>
      </c>
      <c r="X27" s="287">
        <v>65.5</v>
      </c>
      <c r="Y27" s="355">
        <f t="shared" si="9"/>
        <v>34.7</v>
      </c>
      <c r="Z27" s="339">
        <f t="shared" si="10"/>
        <v>212.66233766233765</v>
      </c>
      <c r="AA27" s="286">
        <v>0.3</v>
      </c>
      <c r="AB27" s="287">
        <v>0.3</v>
      </c>
      <c r="AC27" s="355">
        <f t="shared" si="11"/>
        <v>0</v>
      </c>
      <c r="AD27" s="339">
        <f t="shared" si="12"/>
        <v>100</v>
      </c>
      <c r="AE27" s="286">
        <v>30.5</v>
      </c>
      <c r="AF27" s="287">
        <v>19.5</v>
      </c>
      <c r="AG27" s="355">
        <f t="shared" si="13"/>
        <v>-11</v>
      </c>
      <c r="AH27" s="339">
        <f t="shared" si="14"/>
        <v>63.934426229508205</v>
      </c>
      <c r="AI27" s="286">
        <v>336.2</v>
      </c>
      <c r="AJ27" s="287">
        <v>458.6</v>
      </c>
      <c r="AK27" s="355">
        <f t="shared" si="15"/>
        <v>122.40000000000003</v>
      </c>
      <c r="AL27" s="339">
        <f t="shared" si="16"/>
        <v>136.4069006543724</v>
      </c>
      <c r="AM27" s="286">
        <v>5.7</v>
      </c>
      <c r="AN27" s="287">
        <v>6.2</v>
      </c>
      <c r="AO27" s="355">
        <f t="shared" si="17"/>
        <v>0.5</v>
      </c>
      <c r="AP27" s="339">
        <f t="shared" si="18"/>
        <v>108.77192982456141</v>
      </c>
      <c r="AQ27" s="286">
        <v>28.2</v>
      </c>
      <c r="AR27" s="287">
        <v>28</v>
      </c>
      <c r="AS27" s="355">
        <f t="shared" si="19"/>
        <v>-0.1999999999999993</v>
      </c>
      <c r="AT27" s="339">
        <f t="shared" si="20"/>
        <v>99.29078014184397</v>
      </c>
      <c r="AU27" s="286">
        <v>255.7</v>
      </c>
      <c r="AV27" s="287">
        <v>259.7</v>
      </c>
      <c r="AW27" s="288">
        <f t="shared" si="26"/>
        <v>4</v>
      </c>
      <c r="AX27" s="339">
        <f t="shared" si="21"/>
        <v>101.56433320297222</v>
      </c>
      <c r="AY27" s="356">
        <v>135.7</v>
      </c>
      <c r="AZ27" s="290">
        <f t="shared" si="0"/>
        <v>1423.7</v>
      </c>
      <c r="BA27" s="305">
        <f t="shared" si="0"/>
        <v>2007.5</v>
      </c>
      <c r="BB27" s="355">
        <f t="shared" si="22"/>
        <v>583.8</v>
      </c>
      <c r="BC27" s="355">
        <f t="shared" si="23"/>
        <v>141.00582987989043</v>
      </c>
    </row>
    <row r="28" spans="1:55" s="285" customFormat="1" ht="12.75">
      <c r="A28" s="279" t="s">
        <v>78</v>
      </c>
      <c r="B28" s="280"/>
      <c r="C28" s="281">
        <f>SUM(C29:C33)</f>
        <v>288075.4</v>
      </c>
      <c r="D28" s="283">
        <f>SUM(D29:D33)</f>
        <v>279029.5</v>
      </c>
      <c r="E28" s="282">
        <f t="shared" si="24"/>
        <v>-9045.900000000023</v>
      </c>
      <c r="F28" s="284">
        <f t="shared" si="25"/>
        <v>96.85988459965688</v>
      </c>
      <c r="G28" s="283">
        <f>SUM(G29:G33)</f>
        <v>13802</v>
      </c>
      <c r="H28" s="283">
        <f>SUM(H29:H33)</f>
        <v>13801.9</v>
      </c>
      <c r="I28" s="282">
        <f t="shared" si="1"/>
        <v>-0.1000000000003638</v>
      </c>
      <c r="J28" s="284">
        <f t="shared" si="2"/>
        <v>99.99927546732359</v>
      </c>
      <c r="K28" s="281">
        <f>SUM(K29:K33)</f>
        <v>24845.600000000002</v>
      </c>
      <c r="L28" s="283">
        <f>SUM(L29:L33)</f>
        <v>24845.200000000004</v>
      </c>
      <c r="M28" s="282">
        <f t="shared" si="3"/>
        <v>-0.3999999999978172</v>
      </c>
      <c r="N28" s="284">
        <f t="shared" si="4"/>
        <v>99.998390056992</v>
      </c>
      <c r="O28" s="281">
        <f>SUM(O29:O33)</f>
        <v>1884.4</v>
      </c>
      <c r="P28" s="283">
        <f>SUM(P29:P33)</f>
        <v>1878.9</v>
      </c>
      <c r="Q28" s="282">
        <f t="shared" si="5"/>
        <v>-5.5</v>
      </c>
      <c r="R28" s="284">
        <f t="shared" si="6"/>
        <v>99.70812990872426</v>
      </c>
      <c r="S28" s="281">
        <f>SUM(S29:S33)</f>
        <v>6971.9</v>
      </c>
      <c r="T28" s="283">
        <f>SUM(T29:T33)</f>
        <v>6911.1</v>
      </c>
      <c r="U28" s="282">
        <f t="shared" si="7"/>
        <v>-60.79999999999927</v>
      </c>
      <c r="V28" s="284">
        <f t="shared" si="8"/>
        <v>99.12792782455286</v>
      </c>
      <c r="W28" s="281">
        <f>SUM(W29:W33)</f>
        <v>55861.1</v>
      </c>
      <c r="X28" s="283">
        <f>SUM(X29:X33)</f>
        <v>55301.6</v>
      </c>
      <c r="Y28" s="282">
        <f t="shared" si="9"/>
        <v>-559.5</v>
      </c>
      <c r="Z28" s="284">
        <f t="shared" si="10"/>
        <v>98.99840855264218</v>
      </c>
      <c r="AA28" s="281">
        <f>SUM(AA29:AA33)</f>
        <v>8101.199999999999</v>
      </c>
      <c r="AB28" s="283">
        <f>SUM(AB29:AB33)</f>
        <v>8051.5</v>
      </c>
      <c r="AC28" s="282">
        <f t="shared" si="11"/>
        <v>-49.69999999999891</v>
      </c>
      <c r="AD28" s="284">
        <f t="shared" si="12"/>
        <v>99.38651064039897</v>
      </c>
      <c r="AE28" s="281">
        <f>SUM(AE29:AE33)</f>
        <v>9845.3</v>
      </c>
      <c r="AF28" s="283">
        <f>SUM(AF29:AF33)</f>
        <v>9813.9</v>
      </c>
      <c r="AG28" s="282">
        <f t="shared" si="13"/>
        <v>-31.399999999999636</v>
      </c>
      <c r="AH28" s="284">
        <f t="shared" si="14"/>
        <v>99.68106609245021</v>
      </c>
      <c r="AI28" s="281">
        <f>SUM(AI29:AI33)</f>
        <v>4794.5</v>
      </c>
      <c r="AJ28" s="283">
        <f>SUM(AJ29:AJ33)</f>
        <v>4794.4</v>
      </c>
      <c r="AK28" s="282">
        <f t="shared" si="15"/>
        <v>-0.1000000000003638</v>
      </c>
      <c r="AL28" s="284">
        <f t="shared" si="16"/>
        <v>99.99791427677548</v>
      </c>
      <c r="AM28" s="281">
        <f>SUM(AM29:AM33)</f>
        <v>6802.199999999999</v>
      </c>
      <c r="AN28" s="283">
        <f>SUM(AN29:AN33)</f>
        <v>6781.4</v>
      </c>
      <c r="AO28" s="282">
        <f t="shared" si="17"/>
        <v>-20.799999999999272</v>
      </c>
      <c r="AP28" s="284">
        <f t="shared" si="18"/>
        <v>99.6942165769898</v>
      </c>
      <c r="AQ28" s="281">
        <f>SUM(AQ29:AQ33)</f>
        <v>60752.7</v>
      </c>
      <c r="AR28" s="283">
        <f>SUM(AR29:AR33)</f>
        <v>60712.8</v>
      </c>
      <c r="AS28" s="282">
        <f t="shared" si="19"/>
        <v>-39.89999999999418</v>
      </c>
      <c r="AT28" s="284">
        <f t="shared" si="20"/>
        <v>99.93432390659181</v>
      </c>
      <c r="AU28" s="281">
        <f>SUM(AU29:AU33)</f>
        <v>52903.5</v>
      </c>
      <c r="AV28" s="283">
        <f>SUM(AV29:AV33)</f>
        <v>52333.7</v>
      </c>
      <c r="AW28" s="282">
        <f>AV28-AU28</f>
        <v>-569.8000000000029</v>
      </c>
      <c r="AX28" s="284">
        <f t="shared" si="21"/>
        <v>98.92294460668953</v>
      </c>
      <c r="AY28" s="282">
        <f>SUM(AY29:AY33)</f>
        <v>43465.700000000004</v>
      </c>
      <c r="AZ28" s="281">
        <f t="shared" si="0"/>
        <v>534639.8</v>
      </c>
      <c r="BA28" s="281">
        <f t="shared" si="0"/>
        <v>524255.9000000001</v>
      </c>
      <c r="BB28" s="282">
        <f t="shared" si="22"/>
        <v>-10383.899999999965</v>
      </c>
      <c r="BC28" s="282">
        <f t="shared" si="23"/>
        <v>98.05777646931637</v>
      </c>
    </row>
    <row r="29" spans="1:55" s="134" customFormat="1" ht="12.75">
      <c r="A29" s="142" t="s">
        <v>79</v>
      </c>
      <c r="B29" s="143"/>
      <c r="C29" s="286">
        <v>313.7</v>
      </c>
      <c r="D29" s="287">
        <v>313.7</v>
      </c>
      <c r="E29" s="355">
        <f t="shared" si="24"/>
        <v>0</v>
      </c>
      <c r="F29" s="339">
        <f t="shared" si="25"/>
        <v>100</v>
      </c>
      <c r="G29" s="289">
        <v>8245.1</v>
      </c>
      <c r="H29" s="287">
        <v>8245.1</v>
      </c>
      <c r="I29" s="355">
        <f t="shared" si="1"/>
        <v>0</v>
      </c>
      <c r="J29" s="339">
        <f t="shared" si="2"/>
        <v>100</v>
      </c>
      <c r="K29" s="286">
        <v>17947.4</v>
      </c>
      <c r="L29" s="287">
        <v>17947.4</v>
      </c>
      <c r="M29" s="355">
        <f t="shared" si="3"/>
        <v>0</v>
      </c>
      <c r="N29" s="339">
        <f t="shared" si="4"/>
        <v>100</v>
      </c>
      <c r="O29" s="286">
        <v>46.3</v>
      </c>
      <c r="P29" s="287">
        <v>46.3</v>
      </c>
      <c r="Q29" s="355">
        <f t="shared" si="5"/>
        <v>0</v>
      </c>
      <c r="R29" s="339">
        <f t="shared" si="6"/>
        <v>100</v>
      </c>
      <c r="S29" s="286">
        <v>5069.8</v>
      </c>
      <c r="T29" s="287">
        <v>5019.1</v>
      </c>
      <c r="U29" s="355">
        <f t="shared" si="7"/>
        <v>-50.69999999999982</v>
      </c>
      <c r="V29" s="339">
        <f t="shared" si="8"/>
        <v>98.99996055071206</v>
      </c>
      <c r="W29" s="286">
        <v>11841</v>
      </c>
      <c r="X29" s="287">
        <v>11841</v>
      </c>
      <c r="Y29" s="355">
        <f t="shared" si="9"/>
        <v>0</v>
      </c>
      <c r="Z29" s="339">
        <f t="shared" si="10"/>
        <v>100</v>
      </c>
      <c r="AA29" s="286">
        <v>6130.2</v>
      </c>
      <c r="AB29" s="287">
        <v>6087.8</v>
      </c>
      <c r="AC29" s="355">
        <f t="shared" si="11"/>
        <v>-42.399999999999636</v>
      </c>
      <c r="AD29" s="339">
        <f t="shared" si="12"/>
        <v>99.30834230530814</v>
      </c>
      <c r="AE29" s="286">
        <v>6452.1</v>
      </c>
      <c r="AF29" s="287">
        <v>6420.8</v>
      </c>
      <c r="AG29" s="355">
        <f t="shared" si="13"/>
        <v>-31.300000000000182</v>
      </c>
      <c r="AH29" s="339">
        <f t="shared" si="14"/>
        <v>99.51488662605973</v>
      </c>
      <c r="AI29" s="286">
        <v>3171.7</v>
      </c>
      <c r="AJ29" s="287">
        <v>3171.7</v>
      </c>
      <c r="AK29" s="355">
        <f t="shared" si="15"/>
        <v>0</v>
      </c>
      <c r="AL29" s="339">
        <f t="shared" si="16"/>
        <v>100</v>
      </c>
      <c r="AM29" s="286">
        <v>4537.2</v>
      </c>
      <c r="AN29" s="287">
        <v>4516.5</v>
      </c>
      <c r="AO29" s="355">
        <f t="shared" si="17"/>
        <v>-20.699999999999818</v>
      </c>
      <c r="AP29" s="339">
        <f t="shared" si="18"/>
        <v>99.54377148902407</v>
      </c>
      <c r="AQ29" s="286">
        <v>13258.6</v>
      </c>
      <c r="AR29" s="287">
        <v>13258.6</v>
      </c>
      <c r="AS29" s="355">
        <f t="shared" si="19"/>
        <v>0</v>
      </c>
      <c r="AT29" s="339">
        <f t="shared" si="20"/>
        <v>100</v>
      </c>
      <c r="AU29" s="286">
        <v>11937.9</v>
      </c>
      <c r="AV29" s="287">
        <v>11937.9</v>
      </c>
      <c r="AW29" s="288">
        <f>AV29-AU29</f>
        <v>0</v>
      </c>
      <c r="AX29" s="339">
        <f t="shared" si="21"/>
        <v>100</v>
      </c>
      <c r="AY29" s="356">
        <v>11893.6</v>
      </c>
      <c r="AZ29" s="290">
        <f t="shared" si="0"/>
        <v>88950.99999999999</v>
      </c>
      <c r="BA29" s="222">
        <f t="shared" si="0"/>
        <v>88805.90000000001</v>
      </c>
      <c r="BB29" s="355">
        <f t="shared" si="22"/>
        <v>-145.09999999997672</v>
      </c>
      <c r="BC29" s="355">
        <f t="shared" si="23"/>
        <v>99.83687648255784</v>
      </c>
    </row>
    <row r="30" spans="1:55" s="134" customFormat="1" ht="12.75">
      <c r="A30" s="474" t="s">
        <v>152</v>
      </c>
      <c r="B30" s="143"/>
      <c r="C30" s="286">
        <v>6225.6</v>
      </c>
      <c r="D30" s="287">
        <v>6225.6</v>
      </c>
      <c r="E30" s="355">
        <f t="shared" si="24"/>
        <v>0</v>
      </c>
      <c r="F30" s="339"/>
      <c r="G30" s="289"/>
      <c r="H30" s="287"/>
      <c r="I30" s="355"/>
      <c r="J30" s="339"/>
      <c r="K30" s="286"/>
      <c r="L30" s="287"/>
      <c r="M30" s="355"/>
      <c r="N30" s="339"/>
      <c r="O30" s="286"/>
      <c r="P30" s="287"/>
      <c r="Q30" s="355"/>
      <c r="R30" s="339"/>
      <c r="S30" s="286"/>
      <c r="T30" s="287"/>
      <c r="U30" s="355"/>
      <c r="V30" s="339"/>
      <c r="W30" s="286"/>
      <c r="X30" s="287"/>
      <c r="Y30" s="355"/>
      <c r="Z30" s="339"/>
      <c r="AA30" s="286"/>
      <c r="AB30" s="287"/>
      <c r="AC30" s="355"/>
      <c r="AD30" s="339"/>
      <c r="AE30" s="286"/>
      <c r="AF30" s="287"/>
      <c r="AG30" s="355"/>
      <c r="AH30" s="339"/>
      <c r="AI30" s="286"/>
      <c r="AJ30" s="287"/>
      <c r="AK30" s="355"/>
      <c r="AL30" s="339"/>
      <c r="AM30" s="286"/>
      <c r="AN30" s="287"/>
      <c r="AO30" s="355"/>
      <c r="AP30" s="339"/>
      <c r="AQ30" s="286"/>
      <c r="AR30" s="287"/>
      <c r="AS30" s="355"/>
      <c r="AT30" s="339"/>
      <c r="AU30" s="286"/>
      <c r="AV30" s="287"/>
      <c r="AW30" s="288"/>
      <c r="AX30" s="339"/>
      <c r="AY30" s="356"/>
      <c r="AZ30" s="290">
        <f t="shared" si="0"/>
        <v>6225.6</v>
      </c>
      <c r="BA30" s="222">
        <f t="shared" si="0"/>
        <v>6225.6</v>
      </c>
      <c r="BB30" s="355">
        <f t="shared" si="22"/>
        <v>0</v>
      </c>
      <c r="BC30" s="355">
        <f t="shared" si="23"/>
        <v>100</v>
      </c>
    </row>
    <row r="31" spans="1:55" s="134" customFormat="1" ht="12.75">
      <c r="A31" s="144" t="s">
        <v>80</v>
      </c>
      <c r="B31" s="143"/>
      <c r="C31" s="286">
        <v>0.2</v>
      </c>
      <c r="D31" s="287">
        <v>0.2</v>
      </c>
      <c r="E31" s="355">
        <f t="shared" si="24"/>
        <v>0</v>
      </c>
      <c r="F31" s="339">
        <f t="shared" si="25"/>
        <v>100</v>
      </c>
      <c r="G31" s="289">
        <v>192.9</v>
      </c>
      <c r="H31" s="287">
        <v>192.9</v>
      </c>
      <c r="I31" s="355">
        <f t="shared" si="1"/>
        <v>0</v>
      </c>
      <c r="J31" s="339">
        <f t="shared" si="2"/>
        <v>100</v>
      </c>
      <c r="K31" s="286">
        <v>192.9</v>
      </c>
      <c r="L31" s="287">
        <v>192.9</v>
      </c>
      <c r="M31" s="355">
        <f t="shared" si="3"/>
        <v>0</v>
      </c>
      <c r="N31" s="339">
        <f t="shared" si="4"/>
        <v>100</v>
      </c>
      <c r="O31" s="286">
        <v>192.9</v>
      </c>
      <c r="P31" s="287">
        <v>192.9</v>
      </c>
      <c r="Q31" s="355">
        <f t="shared" si="5"/>
        <v>0</v>
      </c>
      <c r="R31" s="339">
        <f t="shared" si="6"/>
        <v>100</v>
      </c>
      <c r="S31" s="286">
        <v>192.9</v>
      </c>
      <c r="T31" s="287">
        <v>192.9</v>
      </c>
      <c r="U31" s="355">
        <f t="shared" si="7"/>
        <v>0</v>
      </c>
      <c r="V31" s="339">
        <f t="shared" si="8"/>
        <v>100</v>
      </c>
      <c r="W31" s="286">
        <v>385.6</v>
      </c>
      <c r="X31" s="287">
        <v>385.6</v>
      </c>
      <c r="Y31" s="355">
        <f t="shared" si="9"/>
        <v>0</v>
      </c>
      <c r="Z31" s="339">
        <f t="shared" si="10"/>
        <v>100</v>
      </c>
      <c r="AA31" s="286">
        <v>192.9</v>
      </c>
      <c r="AB31" s="287">
        <v>192.9</v>
      </c>
      <c r="AC31" s="355">
        <f t="shared" si="11"/>
        <v>0</v>
      </c>
      <c r="AD31" s="339">
        <f t="shared" si="12"/>
        <v>100</v>
      </c>
      <c r="AE31" s="286">
        <v>192.9</v>
      </c>
      <c r="AF31" s="287">
        <v>192.9</v>
      </c>
      <c r="AG31" s="355">
        <f t="shared" si="13"/>
        <v>0</v>
      </c>
      <c r="AH31" s="339">
        <f t="shared" si="14"/>
        <v>100</v>
      </c>
      <c r="AI31" s="286">
        <v>192.9</v>
      </c>
      <c r="AJ31" s="287">
        <v>192.9</v>
      </c>
      <c r="AK31" s="355">
        <f t="shared" si="15"/>
        <v>0</v>
      </c>
      <c r="AL31" s="339">
        <f t="shared" si="16"/>
        <v>100</v>
      </c>
      <c r="AM31" s="286">
        <v>192.9</v>
      </c>
      <c r="AN31" s="287">
        <v>192.9</v>
      </c>
      <c r="AO31" s="355">
        <f t="shared" si="17"/>
        <v>0</v>
      </c>
      <c r="AP31" s="339">
        <f t="shared" si="18"/>
        <v>100</v>
      </c>
      <c r="AQ31" s="286">
        <v>192.9</v>
      </c>
      <c r="AR31" s="287">
        <v>192.9</v>
      </c>
      <c r="AS31" s="355">
        <f t="shared" si="19"/>
        <v>0</v>
      </c>
      <c r="AT31" s="339">
        <f t="shared" si="20"/>
        <v>100</v>
      </c>
      <c r="AU31" s="310">
        <v>192.9</v>
      </c>
      <c r="AV31" s="287">
        <v>192.9</v>
      </c>
      <c r="AW31" s="288">
        <f>AV31-AU31</f>
        <v>0</v>
      </c>
      <c r="AX31" s="339">
        <f t="shared" si="21"/>
        <v>100</v>
      </c>
      <c r="AY31" s="362">
        <v>189.7</v>
      </c>
      <c r="AZ31" s="290">
        <f t="shared" si="0"/>
        <v>2314.8000000000006</v>
      </c>
      <c r="BA31" s="222">
        <f t="shared" si="0"/>
        <v>2314.8000000000006</v>
      </c>
      <c r="BB31" s="355">
        <f t="shared" si="22"/>
        <v>0</v>
      </c>
      <c r="BC31" s="355">
        <f t="shared" si="23"/>
        <v>100</v>
      </c>
    </row>
    <row r="32" spans="1:56" s="134" customFormat="1" ht="12.75">
      <c r="A32" s="142" t="s">
        <v>81</v>
      </c>
      <c r="B32" s="143"/>
      <c r="C32" s="286">
        <v>281535.9</v>
      </c>
      <c r="D32" s="287">
        <v>272490</v>
      </c>
      <c r="E32" s="355">
        <f t="shared" si="24"/>
        <v>-9045.900000000023</v>
      </c>
      <c r="F32" s="339">
        <f t="shared" si="25"/>
        <v>96.78694617631356</v>
      </c>
      <c r="G32" s="289">
        <v>5364</v>
      </c>
      <c r="H32" s="287">
        <v>5363.9</v>
      </c>
      <c r="I32" s="355">
        <f t="shared" si="1"/>
        <v>-0.1000000000003638</v>
      </c>
      <c r="J32" s="339">
        <f t="shared" si="2"/>
        <v>99.99813571961222</v>
      </c>
      <c r="K32" s="286">
        <v>6697.3</v>
      </c>
      <c r="L32" s="287">
        <v>6696.9</v>
      </c>
      <c r="M32" s="355">
        <f t="shared" si="3"/>
        <v>-0.4000000000005457</v>
      </c>
      <c r="N32" s="339">
        <f t="shared" si="4"/>
        <v>99.99402744389529</v>
      </c>
      <c r="O32" s="286">
        <v>1645.2</v>
      </c>
      <c r="P32" s="287">
        <v>1639.7</v>
      </c>
      <c r="Q32" s="355">
        <f t="shared" si="5"/>
        <v>-5.5</v>
      </c>
      <c r="R32" s="339">
        <f t="shared" si="6"/>
        <v>99.66569414053002</v>
      </c>
      <c r="S32" s="286">
        <v>1709.2</v>
      </c>
      <c r="T32" s="287">
        <v>1699.1</v>
      </c>
      <c r="U32" s="355">
        <f t="shared" si="7"/>
        <v>-10.100000000000136</v>
      </c>
      <c r="V32" s="339">
        <f t="shared" si="8"/>
        <v>99.40908027147202</v>
      </c>
      <c r="W32" s="286">
        <v>43634.5</v>
      </c>
      <c r="X32" s="287">
        <v>43075</v>
      </c>
      <c r="Y32" s="355">
        <f t="shared" si="9"/>
        <v>-559.5</v>
      </c>
      <c r="Z32" s="339">
        <f t="shared" si="10"/>
        <v>98.71775773757004</v>
      </c>
      <c r="AA32" s="286">
        <v>1778.1</v>
      </c>
      <c r="AB32" s="287">
        <v>1770.8</v>
      </c>
      <c r="AC32" s="355">
        <f t="shared" si="11"/>
        <v>-7.2999999999999545</v>
      </c>
      <c r="AD32" s="339">
        <f t="shared" si="12"/>
        <v>99.58944941229403</v>
      </c>
      <c r="AE32" s="286">
        <v>3200.3</v>
      </c>
      <c r="AF32" s="287">
        <v>3200.2</v>
      </c>
      <c r="AG32" s="355">
        <f t="shared" si="13"/>
        <v>-0.1000000000003638</v>
      </c>
      <c r="AH32" s="339">
        <f t="shared" si="14"/>
        <v>99.99687529294128</v>
      </c>
      <c r="AI32" s="286">
        <v>1429.9</v>
      </c>
      <c r="AJ32" s="287">
        <v>1429.8</v>
      </c>
      <c r="AK32" s="355">
        <f t="shared" si="15"/>
        <v>-0.10000000000013642</v>
      </c>
      <c r="AL32" s="339">
        <f t="shared" si="16"/>
        <v>99.99300650395132</v>
      </c>
      <c r="AM32" s="286">
        <v>2072.1</v>
      </c>
      <c r="AN32" s="287">
        <v>2072</v>
      </c>
      <c r="AO32" s="355">
        <f t="shared" si="17"/>
        <v>-0.09999999999990905</v>
      </c>
      <c r="AP32" s="339">
        <f t="shared" si="18"/>
        <v>99.99517397808987</v>
      </c>
      <c r="AQ32" s="286">
        <v>47301.2</v>
      </c>
      <c r="AR32" s="287">
        <v>47261.3</v>
      </c>
      <c r="AS32" s="355">
        <f t="shared" si="19"/>
        <v>-39.89999999999418</v>
      </c>
      <c r="AT32" s="339">
        <f t="shared" si="20"/>
        <v>99.91564696033083</v>
      </c>
      <c r="AU32" s="286">
        <v>40772.7</v>
      </c>
      <c r="AV32" s="287">
        <v>40202.9</v>
      </c>
      <c r="AW32" s="288">
        <f>AV32-AU32</f>
        <v>-569.7999999999956</v>
      </c>
      <c r="AX32" s="339">
        <f t="shared" si="21"/>
        <v>98.60249627814692</v>
      </c>
      <c r="AY32" s="356">
        <v>31382.4</v>
      </c>
      <c r="AZ32" s="290">
        <f t="shared" si="0"/>
        <v>437140.4</v>
      </c>
      <c r="BA32" s="222">
        <f t="shared" si="0"/>
        <v>426901.60000000003</v>
      </c>
      <c r="BB32" s="355">
        <f t="shared" si="22"/>
        <v>-10238.799999999988</v>
      </c>
      <c r="BC32" s="355">
        <f t="shared" si="23"/>
        <v>97.65777768424057</v>
      </c>
      <c r="BD32" s="311"/>
    </row>
    <row r="33" spans="1:56" s="134" customFormat="1" ht="12.75">
      <c r="A33" s="142" t="s">
        <v>82</v>
      </c>
      <c r="B33" s="143"/>
      <c r="C33" s="286"/>
      <c r="D33" s="287"/>
      <c r="E33" s="282">
        <f t="shared" si="24"/>
        <v>0</v>
      </c>
      <c r="F33" s="284"/>
      <c r="G33" s="289"/>
      <c r="H33" s="287"/>
      <c r="I33" s="282">
        <f t="shared" si="1"/>
        <v>0</v>
      </c>
      <c r="J33" s="284"/>
      <c r="K33" s="286">
        <v>8</v>
      </c>
      <c r="L33" s="287">
        <v>8</v>
      </c>
      <c r="M33" s="282">
        <f t="shared" si="3"/>
        <v>0</v>
      </c>
      <c r="N33" s="284">
        <f t="shared" si="4"/>
        <v>100</v>
      </c>
      <c r="O33" s="286"/>
      <c r="P33" s="287"/>
      <c r="Q33" s="282">
        <f t="shared" si="5"/>
        <v>0</v>
      </c>
      <c r="R33" s="284"/>
      <c r="S33" s="286"/>
      <c r="T33" s="287"/>
      <c r="U33" s="282">
        <f t="shared" si="7"/>
        <v>0</v>
      </c>
      <c r="V33" s="284"/>
      <c r="W33" s="286"/>
      <c r="X33" s="287"/>
      <c r="Y33" s="282">
        <f t="shared" si="9"/>
        <v>0</v>
      </c>
      <c r="Z33" s="284"/>
      <c r="AA33" s="286"/>
      <c r="AB33" s="287"/>
      <c r="AC33" s="282">
        <f t="shared" si="11"/>
        <v>0</v>
      </c>
      <c r="AD33" s="284"/>
      <c r="AE33" s="286"/>
      <c r="AF33" s="287"/>
      <c r="AG33" s="282">
        <f t="shared" si="13"/>
        <v>0</v>
      </c>
      <c r="AH33" s="284"/>
      <c r="AI33" s="286"/>
      <c r="AJ33" s="287"/>
      <c r="AK33" s="282">
        <f t="shared" si="15"/>
        <v>0</v>
      </c>
      <c r="AL33" s="284"/>
      <c r="AM33" s="286"/>
      <c r="AN33" s="287"/>
      <c r="AO33" s="282">
        <f t="shared" si="17"/>
        <v>0</v>
      </c>
      <c r="AP33" s="284"/>
      <c r="AQ33" s="286"/>
      <c r="AR33" s="287"/>
      <c r="AS33" s="282">
        <f t="shared" si="19"/>
        <v>0</v>
      </c>
      <c r="AT33" s="284"/>
      <c r="AU33" s="286"/>
      <c r="AV33" s="287"/>
      <c r="AW33" s="288"/>
      <c r="AX33" s="284"/>
      <c r="AY33" s="356"/>
      <c r="AZ33" s="290">
        <f t="shared" si="0"/>
        <v>8</v>
      </c>
      <c r="BA33" s="305">
        <f t="shared" si="0"/>
        <v>8</v>
      </c>
      <c r="BB33" s="282">
        <f t="shared" si="22"/>
        <v>0</v>
      </c>
      <c r="BC33" s="282"/>
      <c r="BD33" s="311"/>
    </row>
    <row r="34" spans="1:56" s="317" customFormat="1" ht="13.5" thickBot="1">
      <c r="A34" s="312" t="s">
        <v>83</v>
      </c>
      <c r="B34" s="313"/>
      <c r="C34" s="314">
        <f>C9+C28</f>
        <v>396365.60000000003</v>
      </c>
      <c r="D34" s="315">
        <f>D9+D28</f>
        <v>393068.6</v>
      </c>
      <c r="E34" s="282">
        <f t="shared" si="24"/>
        <v>-3297.000000000058</v>
      </c>
      <c r="F34" s="284">
        <f t="shared" si="25"/>
        <v>99.16819219427718</v>
      </c>
      <c r="G34" s="314">
        <f>G9+G28</f>
        <v>17879.2</v>
      </c>
      <c r="H34" s="315">
        <f>H9+H28</f>
        <v>18546.6</v>
      </c>
      <c r="I34" s="282">
        <f t="shared" si="1"/>
        <v>667.3999999999978</v>
      </c>
      <c r="J34" s="284">
        <f t="shared" si="2"/>
        <v>103.73282920936057</v>
      </c>
      <c r="K34" s="314">
        <f>K9+K28</f>
        <v>32118.300000000003</v>
      </c>
      <c r="L34" s="315">
        <f>L9+L28</f>
        <v>32733.700000000004</v>
      </c>
      <c r="M34" s="282">
        <f t="shared" si="3"/>
        <v>615.4000000000015</v>
      </c>
      <c r="N34" s="284">
        <f t="shared" si="4"/>
        <v>101.91604163358585</v>
      </c>
      <c r="O34" s="314">
        <f>O9+O28</f>
        <v>9789.6</v>
      </c>
      <c r="P34" s="315">
        <f>P9+P28</f>
        <v>9888.300000000001</v>
      </c>
      <c r="Q34" s="282">
        <f t="shared" si="5"/>
        <v>98.70000000000073</v>
      </c>
      <c r="R34" s="284">
        <f t="shared" si="6"/>
        <v>101.00821279725423</v>
      </c>
      <c r="S34" s="314">
        <f>S9+S28</f>
        <v>12881.8</v>
      </c>
      <c r="T34" s="315">
        <f>T9+T28</f>
        <v>13417.7</v>
      </c>
      <c r="U34" s="282">
        <f t="shared" si="7"/>
        <v>535.9000000000015</v>
      </c>
      <c r="V34" s="284">
        <f t="shared" si="8"/>
        <v>104.1601329006816</v>
      </c>
      <c r="W34" s="314">
        <f>W9+W28</f>
        <v>59831.799999999996</v>
      </c>
      <c r="X34" s="315">
        <f>X9+X28</f>
        <v>58552.799999999996</v>
      </c>
      <c r="Y34" s="282">
        <f t="shared" si="9"/>
        <v>-1279</v>
      </c>
      <c r="Z34" s="284">
        <f t="shared" si="10"/>
        <v>97.86234076193597</v>
      </c>
      <c r="AA34" s="314">
        <f>AA9+AA28</f>
        <v>12711.8</v>
      </c>
      <c r="AB34" s="315">
        <f>AB9+AB28</f>
        <v>12432.400000000001</v>
      </c>
      <c r="AC34" s="282">
        <f t="shared" si="11"/>
        <v>-279.3999999999978</v>
      </c>
      <c r="AD34" s="284">
        <f t="shared" si="12"/>
        <v>97.80204219701382</v>
      </c>
      <c r="AE34" s="314">
        <f>AE9+AE28</f>
        <v>13195.7</v>
      </c>
      <c r="AF34" s="315">
        <f>AF9+AF28</f>
        <v>13008.4</v>
      </c>
      <c r="AG34" s="282">
        <f t="shared" si="13"/>
        <v>-187.3000000000011</v>
      </c>
      <c r="AH34" s="284">
        <f t="shared" si="14"/>
        <v>98.5805982251794</v>
      </c>
      <c r="AI34" s="314">
        <f>AI9+AI28</f>
        <v>12880.6</v>
      </c>
      <c r="AJ34" s="315">
        <f>AJ9+AJ28</f>
        <v>14225.300000000001</v>
      </c>
      <c r="AK34" s="282">
        <f t="shared" si="15"/>
        <v>1344.7000000000007</v>
      </c>
      <c r="AL34" s="284">
        <f t="shared" si="16"/>
        <v>110.4397310684285</v>
      </c>
      <c r="AM34" s="314">
        <f>AM9+AM28</f>
        <v>8537.199999999999</v>
      </c>
      <c r="AN34" s="315">
        <f>AN9+AN28</f>
        <v>8598.3</v>
      </c>
      <c r="AO34" s="282">
        <f t="shared" si="17"/>
        <v>61.100000000000364</v>
      </c>
      <c r="AP34" s="284">
        <f t="shared" si="18"/>
        <v>100.71569132736728</v>
      </c>
      <c r="AQ34" s="314">
        <f>AQ9+AQ28</f>
        <v>64220.1</v>
      </c>
      <c r="AR34" s="315">
        <f>AR9+AR28</f>
        <v>64367.600000000006</v>
      </c>
      <c r="AS34" s="282">
        <f t="shared" si="19"/>
        <v>147.50000000000728</v>
      </c>
      <c r="AT34" s="284">
        <f t="shared" si="20"/>
        <v>100.22967887001111</v>
      </c>
      <c r="AU34" s="314">
        <f>AU9+AU28</f>
        <v>64086.7</v>
      </c>
      <c r="AV34" s="315">
        <f>AV9+AV28</f>
        <v>63557.9</v>
      </c>
      <c r="AW34" s="282">
        <f>AV34-AU34</f>
        <v>-528.7999999999956</v>
      </c>
      <c r="AX34" s="284">
        <f t="shared" si="21"/>
        <v>99.17486779628223</v>
      </c>
      <c r="AY34" s="282">
        <f>AY9+AY28</f>
        <v>53956.3</v>
      </c>
      <c r="AZ34" s="315">
        <f t="shared" si="0"/>
        <v>704498.3999999999</v>
      </c>
      <c r="BA34" s="315">
        <f t="shared" si="0"/>
        <v>702397.6000000001</v>
      </c>
      <c r="BB34" s="282">
        <f t="shared" si="22"/>
        <v>-2100.7999999998137</v>
      </c>
      <c r="BC34" s="282">
        <f t="shared" si="23"/>
        <v>99.70180201970653</v>
      </c>
      <c r="BD34" s="316"/>
    </row>
    <row r="35" spans="3:56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</row>
    <row r="36" spans="2:56" ht="12.75">
      <c r="B36" s="11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</row>
    <row r="37" spans="3:56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</row>
    <row r="38" spans="3:56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</row>
    <row r="39" spans="3:56" ht="12.7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</row>
    <row r="40" spans="3:56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</row>
    <row r="41" spans="3:56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</row>
    <row r="42" spans="3:56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</row>
    <row r="43" spans="3:56" ht="12.75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</row>
    <row r="44" spans="3:56" ht="12.75"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</row>
  </sheetData>
  <sheetProtection/>
  <mergeCells count="40"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AM6:AP6"/>
    <mergeCell ref="AQ6:AT6"/>
    <mergeCell ref="AU6:AX6"/>
    <mergeCell ref="AZ6:BC6"/>
    <mergeCell ref="C7:D7"/>
    <mergeCell ref="E7:F7"/>
    <mergeCell ref="G7:H7"/>
    <mergeCell ref="I7:J7"/>
    <mergeCell ref="K7:L7"/>
    <mergeCell ref="M7:N7"/>
    <mergeCell ref="D3:L3"/>
    <mergeCell ref="C6:F6"/>
    <mergeCell ref="G6:J6"/>
    <mergeCell ref="K6:N6"/>
    <mergeCell ref="O6:R6"/>
    <mergeCell ref="S6:V6"/>
    <mergeCell ref="W6:Z6"/>
    <mergeCell ref="AA6:AD6"/>
    <mergeCell ref="AE6:AH6"/>
    <mergeCell ref="AI6:AL6"/>
    <mergeCell ref="BB7:BC7"/>
    <mergeCell ref="AZ7:BA7"/>
    <mergeCell ref="AM7:AN7"/>
    <mergeCell ref="AO7:AP7"/>
    <mergeCell ref="AQ7:AR7"/>
    <mergeCell ref="AS7:AT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D47" sqref="D47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5" t="s">
        <v>84</v>
      </c>
      <c r="B1" s="318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5.75">
      <c r="A2" s="148" t="s">
        <v>153</v>
      </c>
      <c r="B2" s="318"/>
      <c r="C2" s="146"/>
      <c r="D2" s="146"/>
      <c r="E2" s="146"/>
      <c r="F2" s="146"/>
      <c r="G2" s="147"/>
      <c r="H2" s="147"/>
      <c r="I2" s="147"/>
      <c r="J2" s="147"/>
      <c r="K2" s="147"/>
      <c r="L2" s="147"/>
    </row>
    <row r="3" spans="1:12" ht="16.5" thickBot="1">
      <c r="A3" s="319" t="s">
        <v>149</v>
      </c>
      <c r="B3" s="320"/>
      <c r="C3" s="442"/>
      <c r="D3" s="442"/>
      <c r="E3" s="442"/>
      <c r="F3" s="442"/>
      <c r="G3" s="333"/>
      <c r="H3" s="333"/>
      <c r="I3" s="149"/>
      <c r="J3" s="149"/>
      <c r="K3" s="333"/>
      <c r="L3" s="150" t="s">
        <v>85</v>
      </c>
    </row>
    <row r="4" spans="1:14" ht="15">
      <c r="A4" s="151"/>
      <c r="B4" s="321" t="s">
        <v>118</v>
      </c>
      <c r="C4" s="443" t="s">
        <v>119</v>
      </c>
      <c r="D4" s="444"/>
      <c r="E4" s="444"/>
      <c r="F4" s="445"/>
      <c r="G4" s="449" t="s">
        <v>86</v>
      </c>
      <c r="H4" s="450"/>
      <c r="I4" s="450"/>
      <c r="J4" s="451"/>
      <c r="K4" s="455" t="s">
        <v>87</v>
      </c>
      <c r="L4" s="456"/>
      <c r="M4" s="456"/>
      <c r="N4" s="457"/>
    </row>
    <row r="5" spans="1:14" ht="15">
      <c r="A5" s="152" t="s">
        <v>0</v>
      </c>
      <c r="B5" s="152" t="s">
        <v>120</v>
      </c>
      <c r="C5" s="446"/>
      <c r="D5" s="447"/>
      <c r="E5" s="447"/>
      <c r="F5" s="448"/>
      <c r="G5" s="452"/>
      <c r="H5" s="453"/>
      <c r="I5" s="453"/>
      <c r="J5" s="454"/>
      <c r="K5" s="458"/>
      <c r="L5" s="459"/>
      <c r="M5" s="459"/>
      <c r="N5" s="460"/>
    </row>
    <row r="6" spans="1:14" ht="15">
      <c r="A6" s="152"/>
      <c r="B6" s="152"/>
      <c r="C6" s="153" t="s">
        <v>88</v>
      </c>
      <c r="D6" s="154" t="s">
        <v>89</v>
      </c>
      <c r="E6" s="461" t="s">
        <v>90</v>
      </c>
      <c r="F6" s="462"/>
      <c r="G6" s="153" t="s">
        <v>88</v>
      </c>
      <c r="H6" s="155" t="s">
        <v>89</v>
      </c>
      <c r="I6" s="461" t="s">
        <v>90</v>
      </c>
      <c r="J6" s="462"/>
      <c r="K6" s="153" t="s">
        <v>88</v>
      </c>
      <c r="L6" s="154" t="s">
        <v>89</v>
      </c>
      <c r="M6" s="463" t="s">
        <v>90</v>
      </c>
      <c r="N6" s="464"/>
    </row>
    <row r="7" spans="1:14" ht="12.75">
      <c r="A7" s="156"/>
      <c r="B7" s="156" t="s">
        <v>121</v>
      </c>
      <c r="C7" s="157" t="s">
        <v>91</v>
      </c>
      <c r="D7" s="158"/>
      <c r="E7" s="156" t="s">
        <v>19</v>
      </c>
      <c r="F7" s="159" t="s">
        <v>20</v>
      </c>
      <c r="G7" s="157" t="s">
        <v>91</v>
      </c>
      <c r="H7" s="160"/>
      <c r="I7" s="156" t="s">
        <v>19</v>
      </c>
      <c r="J7" s="159" t="s">
        <v>20</v>
      </c>
      <c r="K7" s="157" t="s">
        <v>91</v>
      </c>
      <c r="L7" s="158"/>
      <c r="M7" s="161" t="s">
        <v>19</v>
      </c>
      <c r="N7" s="162" t="s">
        <v>20</v>
      </c>
    </row>
    <row r="8" spans="1:14" ht="15.75">
      <c r="A8" s="280" t="s">
        <v>92</v>
      </c>
      <c r="B8" s="322" t="s">
        <v>122</v>
      </c>
      <c r="C8" s="163">
        <f>G8+K8-0.3</f>
        <v>655416.9</v>
      </c>
      <c r="D8" s="164">
        <f>H8+L8-0.3</f>
        <v>701468.0999999999</v>
      </c>
      <c r="E8" s="164">
        <f aca="true" t="shared" si="0" ref="E8:E19">D8-C8</f>
        <v>46051.19999999984</v>
      </c>
      <c r="F8" s="165">
        <f aca="true" t="shared" si="1" ref="F8:F17">D8/C8%</f>
        <v>107.0262454324873</v>
      </c>
      <c r="G8" s="166">
        <f>SUM(G9:G19)+G26+G27+G28+G31+G32</f>
        <v>485558.60000000003</v>
      </c>
      <c r="H8" s="164">
        <f>SUM(H9:H19)+H26+H27+H28+H31+H32</f>
        <v>523267.69999999995</v>
      </c>
      <c r="I8" s="164">
        <f>H8-G8</f>
        <v>37709.09999999992</v>
      </c>
      <c r="J8" s="167">
        <f>H8/G8%</f>
        <v>107.7661275075758</v>
      </c>
      <c r="K8" s="166">
        <f>SUM(K9:K19)+K26+K27+K28+K31+K32</f>
        <v>169858.6</v>
      </c>
      <c r="L8" s="164">
        <f>SUM(L9:L19)+L26+L27+L28+L31+L32</f>
        <v>178200.7</v>
      </c>
      <c r="M8" s="164">
        <f>L8-K8</f>
        <v>8342.100000000006</v>
      </c>
      <c r="N8" s="165">
        <f>L8/K8%</f>
        <v>104.91120261205498</v>
      </c>
    </row>
    <row r="9" spans="1:14" ht="15">
      <c r="A9" s="168" t="s">
        <v>63</v>
      </c>
      <c r="B9" s="323" t="s">
        <v>123</v>
      </c>
      <c r="C9" s="169">
        <f>G9+K9</f>
        <v>428066</v>
      </c>
      <c r="D9" s="170">
        <f aca="true" t="shared" si="2" ref="C9:D24">H9+L9</f>
        <v>464548.2</v>
      </c>
      <c r="E9" s="170">
        <f t="shared" si="0"/>
        <v>36482.20000000001</v>
      </c>
      <c r="F9" s="171">
        <f t="shared" si="1"/>
        <v>108.52256427747123</v>
      </c>
      <c r="G9" s="172">
        <v>351009.4</v>
      </c>
      <c r="H9" s="173">
        <v>384978.9</v>
      </c>
      <c r="I9" s="174">
        <f aca="true" t="shared" si="3" ref="I9:I39">H9-G9</f>
        <v>33969.5</v>
      </c>
      <c r="J9" s="175">
        <f aca="true" t="shared" si="4" ref="J9:J39">H9/G9%</f>
        <v>109.67766105409143</v>
      </c>
      <c r="K9" s="172">
        <v>77056.6</v>
      </c>
      <c r="L9" s="334">
        <v>79569.3</v>
      </c>
      <c r="M9" s="174">
        <f aca="true" t="shared" si="5" ref="M9:M39">L9-K9</f>
        <v>2512.699999999997</v>
      </c>
      <c r="N9" s="175">
        <f aca="true" t="shared" si="6" ref="N9:N39">L9/K9%</f>
        <v>103.26084981688784</v>
      </c>
    </row>
    <row r="10" spans="1:14" ht="15">
      <c r="A10" s="168" t="s">
        <v>64</v>
      </c>
      <c r="B10" s="323"/>
      <c r="C10" s="169">
        <f t="shared" si="2"/>
        <v>34652.3</v>
      </c>
      <c r="D10" s="170">
        <f t="shared" si="2"/>
        <v>37222.7</v>
      </c>
      <c r="E10" s="170">
        <f t="shared" si="0"/>
        <v>2570.399999999994</v>
      </c>
      <c r="F10" s="171">
        <f t="shared" si="1"/>
        <v>107.41768944629936</v>
      </c>
      <c r="G10" s="172">
        <v>31819.2</v>
      </c>
      <c r="H10" s="173">
        <v>34179.5</v>
      </c>
      <c r="I10" s="174">
        <f t="shared" si="3"/>
        <v>2360.2999999999993</v>
      </c>
      <c r="J10" s="175">
        <f t="shared" si="4"/>
        <v>107.41784834313873</v>
      </c>
      <c r="K10" s="172">
        <v>2833.1</v>
      </c>
      <c r="L10" s="334">
        <v>3043.2</v>
      </c>
      <c r="M10" s="174">
        <f t="shared" si="5"/>
        <v>210.0999999999999</v>
      </c>
      <c r="N10" s="175">
        <f t="shared" si="6"/>
        <v>107.41590483922205</v>
      </c>
    </row>
    <row r="11" spans="1:14" ht="25.5" hidden="1">
      <c r="A11" s="176" t="s">
        <v>24</v>
      </c>
      <c r="B11" s="323" t="s">
        <v>124</v>
      </c>
      <c r="C11" s="169">
        <f t="shared" si="2"/>
        <v>0</v>
      </c>
      <c r="D11" s="170">
        <f t="shared" si="2"/>
        <v>0</v>
      </c>
      <c r="E11" s="170">
        <f t="shared" si="0"/>
        <v>0</v>
      </c>
      <c r="F11" s="171" t="e">
        <f t="shared" si="1"/>
        <v>#DIV/0!</v>
      </c>
      <c r="G11" s="172"/>
      <c r="H11" s="173"/>
      <c r="I11" s="174">
        <f t="shared" si="3"/>
        <v>0</v>
      </c>
      <c r="J11" s="175" t="e">
        <f t="shared" si="4"/>
        <v>#DIV/0!</v>
      </c>
      <c r="K11" s="172"/>
      <c r="L11" s="334"/>
      <c r="M11" s="174">
        <f t="shared" si="5"/>
        <v>0</v>
      </c>
      <c r="N11" s="175" t="e">
        <f t="shared" si="6"/>
        <v>#DIV/0!</v>
      </c>
    </row>
    <row r="12" spans="1:14" ht="25.5">
      <c r="A12" s="176" t="s">
        <v>25</v>
      </c>
      <c r="B12" s="323" t="s">
        <v>125</v>
      </c>
      <c r="C12" s="169">
        <f t="shared" si="2"/>
        <v>24501.5</v>
      </c>
      <c r="D12" s="170">
        <f t="shared" si="2"/>
        <v>18415.5</v>
      </c>
      <c r="E12" s="170">
        <f t="shared" si="0"/>
        <v>-6086</v>
      </c>
      <c r="F12" s="171">
        <f t="shared" si="1"/>
        <v>75.16070444666653</v>
      </c>
      <c r="G12" s="172">
        <v>24501.5</v>
      </c>
      <c r="H12" s="173">
        <v>18415.5</v>
      </c>
      <c r="I12" s="174">
        <f t="shared" si="3"/>
        <v>-6086</v>
      </c>
      <c r="J12" s="175">
        <f t="shared" si="4"/>
        <v>75.16070444666653</v>
      </c>
      <c r="K12" s="172"/>
      <c r="L12" s="334"/>
      <c r="M12" s="174">
        <f t="shared" si="5"/>
        <v>0</v>
      </c>
      <c r="N12" s="175"/>
    </row>
    <row r="13" spans="1:14" ht="15">
      <c r="A13" s="176" t="s">
        <v>26</v>
      </c>
      <c r="B13" s="323" t="s">
        <v>126</v>
      </c>
      <c r="C13" s="169">
        <f t="shared" si="2"/>
        <v>6816.7</v>
      </c>
      <c r="D13" s="170">
        <f t="shared" si="2"/>
        <v>7639.900000000001</v>
      </c>
      <c r="E13" s="170">
        <f t="shared" si="0"/>
        <v>823.2000000000007</v>
      </c>
      <c r="F13" s="171">
        <f t="shared" si="1"/>
        <v>112.07622456613905</v>
      </c>
      <c r="G13" s="172">
        <v>4182.5</v>
      </c>
      <c r="H13" s="173">
        <v>4430.1</v>
      </c>
      <c r="I13" s="174">
        <f t="shared" si="3"/>
        <v>247.60000000000036</v>
      </c>
      <c r="J13" s="175">
        <f t="shared" si="4"/>
        <v>105.91990436341901</v>
      </c>
      <c r="K13" s="172">
        <v>2634.2</v>
      </c>
      <c r="L13" s="334">
        <v>3209.8</v>
      </c>
      <c r="M13" s="174">
        <f t="shared" si="5"/>
        <v>575.6000000000004</v>
      </c>
      <c r="N13" s="175">
        <f t="shared" si="6"/>
        <v>121.85103636777771</v>
      </c>
    </row>
    <row r="14" spans="1:14" ht="25.5">
      <c r="A14" s="176" t="s">
        <v>28</v>
      </c>
      <c r="B14" s="323"/>
      <c r="C14" s="169">
        <f t="shared" si="2"/>
        <v>2000</v>
      </c>
      <c r="D14" s="170">
        <f t="shared" si="2"/>
        <v>2020.7</v>
      </c>
      <c r="E14" s="170"/>
      <c r="F14" s="171"/>
      <c r="G14" s="172">
        <v>2000</v>
      </c>
      <c r="H14" s="173">
        <v>2020.7</v>
      </c>
      <c r="I14" s="174">
        <f t="shared" si="3"/>
        <v>20.700000000000045</v>
      </c>
      <c r="J14" s="175">
        <f t="shared" si="4"/>
        <v>101.035</v>
      </c>
      <c r="K14" s="172"/>
      <c r="L14" s="334"/>
      <c r="M14" s="174">
        <f t="shared" si="5"/>
        <v>0</v>
      </c>
      <c r="N14" s="175"/>
    </row>
    <row r="15" spans="1:14" ht="15">
      <c r="A15" s="176" t="s">
        <v>65</v>
      </c>
      <c r="B15" s="324" t="s">
        <v>127</v>
      </c>
      <c r="C15" s="169">
        <f t="shared" si="2"/>
        <v>9853.2</v>
      </c>
      <c r="D15" s="170">
        <f t="shared" si="2"/>
        <v>9498.4</v>
      </c>
      <c r="E15" s="170">
        <f t="shared" si="0"/>
        <v>-354.8000000000011</v>
      </c>
      <c r="F15" s="171">
        <f t="shared" si="1"/>
        <v>96.39913936589127</v>
      </c>
      <c r="G15" s="172"/>
      <c r="H15" s="173"/>
      <c r="I15" s="174">
        <f t="shared" si="3"/>
        <v>0</v>
      </c>
      <c r="J15" s="175"/>
      <c r="K15" s="172">
        <v>9853.2</v>
      </c>
      <c r="L15" s="334">
        <v>9498.4</v>
      </c>
      <c r="M15" s="174">
        <f t="shared" si="5"/>
        <v>-354.8000000000011</v>
      </c>
      <c r="N15" s="175">
        <f t="shared" si="6"/>
        <v>96.39913936589127</v>
      </c>
    </row>
    <row r="16" spans="1:14" ht="15">
      <c r="A16" s="177" t="s">
        <v>66</v>
      </c>
      <c r="B16" s="324" t="s">
        <v>128</v>
      </c>
      <c r="C16" s="169">
        <f t="shared" si="2"/>
        <v>60265</v>
      </c>
      <c r="D16" s="170">
        <f t="shared" si="2"/>
        <v>61427.3</v>
      </c>
      <c r="E16" s="170">
        <f t="shared" si="0"/>
        <v>1162.300000000003</v>
      </c>
      <c r="F16" s="171">
        <f t="shared" si="1"/>
        <v>101.92864846926078</v>
      </c>
      <c r="G16" s="172"/>
      <c r="H16" s="173"/>
      <c r="I16" s="174">
        <f t="shared" si="3"/>
        <v>0</v>
      </c>
      <c r="J16" s="175"/>
      <c r="K16" s="172">
        <v>60265</v>
      </c>
      <c r="L16" s="334">
        <v>61427.3</v>
      </c>
      <c r="M16" s="174">
        <f t="shared" si="5"/>
        <v>1162.300000000003</v>
      </c>
      <c r="N16" s="175">
        <f t="shared" si="6"/>
        <v>101.92864846926078</v>
      </c>
    </row>
    <row r="17" spans="1:14" ht="15">
      <c r="A17" s="178" t="s">
        <v>93</v>
      </c>
      <c r="B17" s="325" t="s">
        <v>129</v>
      </c>
      <c r="C17" s="169">
        <f t="shared" si="2"/>
        <v>14914.1</v>
      </c>
      <c r="D17" s="170">
        <f t="shared" si="2"/>
        <v>17001.1</v>
      </c>
      <c r="E17" s="170">
        <f t="shared" si="0"/>
        <v>2086.999999999998</v>
      </c>
      <c r="F17" s="171">
        <f t="shared" si="1"/>
        <v>113.99346926733762</v>
      </c>
      <c r="G17" s="172">
        <v>14379</v>
      </c>
      <c r="H17" s="173">
        <v>16443.3</v>
      </c>
      <c r="I17" s="174">
        <f t="shared" si="3"/>
        <v>2064.2999999999993</v>
      </c>
      <c r="J17" s="175">
        <f t="shared" si="4"/>
        <v>114.35635301481327</v>
      </c>
      <c r="K17" s="179">
        <v>535.1</v>
      </c>
      <c r="L17" s="334">
        <v>557.8</v>
      </c>
      <c r="M17" s="174">
        <f t="shared" si="5"/>
        <v>22.699999999999932</v>
      </c>
      <c r="N17" s="175">
        <f t="shared" si="6"/>
        <v>104.24219772005232</v>
      </c>
    </row>
    <row r="18" spans="1:14" ht="15">
      <c r="A18" s="176" t="s">
        <v>94</v>
      </c>
      <c r="B18" s="325" t="s">
        <v>130</v>
      </c>
      <c r="C18" s="169">
        <f t="shared" si="2"/>
        <v>0</v>
      </c>
      <c r="D18" s="170">
        <f t="shared" si="2"/>
        <v>0</v>
      </c>
      <c r="E18" s="170">
        <f t="shared" si="0"/>
        <v>0</v>
      </c>
      <c r="F18" s="171"/>
      <c r="G18" s="172"/>
      <c r="H18" s="180"/>
      <c r="I18" s="174"/>
      <c r="J18" s="175"/>
      <c r="K18" s="179"/>
      <c r="L18" s="174"/>
      <c r="M18" s="174">
        <f t="shared" si="5"/>
        <v>0</v>
      </c>
      <c r="N18" s="175"/>
    </row>
    <row r="19" spans="1:14" ht="38.25">
      <c r="A19" s="181" t="s">
        <v>95</v>
      </c>
      <c r="B19" s="326" t="s">
        <v>131</v>
      </c>
      <c r="C19" s="169">
        <f>G19+K19-16.1</f>
        <v>37888.6</v>
      </c>
      <c r="D19" s="170">
        <f t="shared" si="2"/>
        <v>39027.299999999996</v>
      </c>
      <c r="E19" s="170">
        <f t="shared" si="0"/>
        <v>1138.699999999997</v>
      </c>
      <c r="F19" s="171">
        <f>D19/C19%</f>
        <v>103.00538948390809</v>
      </c>
      <c r="G19" s="182">
        <f>SUM(G20:G25)</f>
        <v>27779.8</v>
      </c>
      <c r="H19" s="174">
        <f>SUM(H20:H25)</f>
        <v>27250.599999999995</v>
      </c>
      <c r="I19" s="174">
        <f t="shared" si="3"/>
        <v>-529.2000000000044</v>
      </c>
      <c r="J19" s="175">
        <f t="shared" si="4"/>
        <v>98.09501868263989</v>
      </c>
      <c r="K19" s="172">
        <f>SUM(K20:K25)</f>
        <v>10124.9</v>
      </c>
      <c r="L19" s="174">
        <f>SUM(L20:L25)</f>
        <v>11776.7</v>
      </c>
      <c r="M19" s="174">
        <f t="shared" si="5"/>
        <v>1651.800000000001</v>
      </c>
      <c r="N19" s="175">
        <f t="shared" si="6"/>
        <v>116.314235202323</v>
      </c>
    </row>
    <row r="20" spans="1:14" ht="25.5" hidden="1">
      <c r="A20" s="183" t="s">
        <v>34</v>
      </c>
      <c r="B20" s="327"/>
      <c r="C20" s="184">
        <f t="shared" si="2"/>
        <v>0</v>
      </c>
      <c r="D20" s="185">
        <f t="shared" si="2"/>
        <v>0</v>
      </c>
      <c r="E20" s="185"/>
      <c r="F20" s="186"/>
      <c r="G20" s="184"/>
      <c r="H20" s="187"/>
      <c r="I20" s="185">
        <f t="shared" si="3"/>
        <v>0</v>
      </c>
      <c r="J20" s="186"/>
      <c r="K20" s="184"/>
      <c r="L20" s="185"/>
      <c r="M20" s="185">
        <f t="shared" si="5"/>
        <v>0</v>
      </c>
      <c r="N20" s="186"/>
    </row>
    <row r="21" spans="1:14" ht="25.5">
      <c r="A21" s="183" t="s">
        <v>115</v>
      </c>
      <c r="B21" s="327"/>
      <c r="C21" s="184"/>
      <c r="D21" s="185"/>
      <c r="E21" s="185"/>
      <c r="F21" s="186"/>
      <c r="G21" s="184">
        <v>0.3</v>
      </c>
      <c r="H21" s="187">
        <v>0.3</v>
      </c>
      <c r="I21" s="185"/>
      <c r="J21" s="186"/>
      <c r="K21" s="184"/>
      <c r="L21" s="185"/>
      <c r="M21" s="185"/>
      <c r="N21" s="186"/>
    </row>
    <row r="22" spans="1:14" ht="15">
      <c r="A22" s="183" t="s">
        <v>96</v>
      </c>
      <c r="B22" s="328" t="s">
        <v>132</v>
      </c>
      <c r="C22" s="184">
        <f t="shared" si="2"/>
        <v>26106.100000000002</v>
      </c>
      <c r="D22" s="185">
        <f t="shared" si="2"/>
        <v>28223.1</v>
      </c>
      <c r="E22" s="185">
        <f aca="true" t="shared" si="7" ref="E22:E38">D22-C22</f>
        <v>2116.9999999999964</v>
      </c>
      <c r="F22" s="186">
        <f>D22/C22%</f>
        <v>108.10921585376596</v>
      </c>
      <c r="G22" s="184">
        <v>19936.4</v>
      </c>
      <c r="H22" s="187">
        <v>20774.1</v>
      </c>
      <c r="I22" s="185">
        <f t="shared" si="3"/>
        <v>837.6999999999971</v>
      </c>
      <c r="J22" s="186">
        <f t="shared" si="4"/>
        <v>104.20186192090848</v>
      </c>
      <c r="K22" s="184">
        <v>6169.7</v>
      </c>
      <c r="L22" s="185">
        <v>7449</v>
      </c>
      <c r="M22" s="185">
        <f t="shared" si="5"/>
        <v>1279.3000000000002</v>
      </c>
      <c r="N22" s="186">
        <f t="shared" si="6"/>
        <v>120.73520592573384</v>
      </c>
    </row>
    <row r="23" spans="1:14" ht="15">
      <c r="A23" s="188" t="s">
        <v>36</v>
      </c>
      <c r="B23" s="328" t="s">
        <v>133</v>
      </c>
      <c r="C23" s="184">
        <f t="shared" si="2"/>
        <v>9257.5</v>
      </c>
      <c r="D23" s="185">
        <f t="shared" si="2"/>
        <v>8138.099999999999</v>
      </c>
      <c r="E23" s="185">
        <f t="shared" si="7"/>
        <v>-1119.4000000000005</v>
      </c>
      <c r="F23" s="186">
        <f>D23/C23%</f>
        <v>87.90818255468538</v>
      </c>
      <c r="G23" s="184">
        <v>7283.3</v>
      </c>
      <c r="H23" s="187">
        <v>5909.4</v>
      </c>
      <c r="I23" s="185">
        <f t="shared" si="3"/>
        <v>-1373.9000000000005</v>
      </c>
      <c r="J23" s="186">
        <f t="shared" si="4"/>
        <v>81.13629810662749</v>
      </c>
      <c r="K23" s="184">
        <v>1974.2</v>
      </c>
      <c r="L23" s="185">
        <v>2228.7</v>
      </c>
      <c r="M23" s="185">
        <f t="shared" si="5"/>
        <v>254.49999999999977</v>
      </c>
      <c r="N23" s="186">
        <f t="shared" si="6"/>
        <v>112.89129774085704</v>
      </c>
    </row>
    <row r="24" spans="1:14" ht="25.5">
      <c r="A24" s="188" t="s">
        <v>97</v>
      </c>
      <c r="B24" s="327" t="s">
        <v>134</v>
      </c>
      <c r="C24" s="184">
        <f t="shared" si="2"/>
        <v>196.1</v>
      </c>
      <c r="D24" s="185">
        <f t="shared" si="2"/>
        <v>161.7</v>
      </c>
      <c r="E24" s="185">
        <f t="shared" si="7"/>
        <v>-34.400000000000006</v>
      </c>
      <c r="F24" s="186">
        <f>D24/C24%</f>
        <v>82.45792962774095</v>
      </c>
      <c r="G24" s="184">
        <v>115</v>
      </c>
      <c r="H24" s="187">
        <v>80.6</v>
      </c>
      <c r="I24" s="185">
        <f t="shared" si="3"/>
        <v>-34.400000000000006</v>
      </c>
      <c r="J24" s="186">
        <f t="shared" si="4"/>
        <v>70.08695652173913</v>
      </c>
      <c r="K24" s="189">
        <v>81.1</v>
      </c>
      <c r="L24" s="185">
        <v>81.1</v>
      </c>
      <c r="M24" s="185">
        <f t="shared" si="5"/>
        <v>0</v>
      </c>
      <c r="N24" s="186">
        <f t="shared" si="6"/>
        <v>100</v>
      </c>
    </row>
    <row r="25" spans="1:14" ht="25.5">
      <c r="A25" s="190" t="s">
        <v>98</v>
      </c>
      <c r="B25" s="327"/>
      <c r="C25" s="184">
        <f aca="true" t="shared" si="8" ref="C25:D32">G25+K25</f>
        <v>2344.7000000000003</v>
      </c>
      <c r="D25" s="185">
        <f t="shared" si="8"/>
        <v>2504.1</v>
      </c>
      <c r="E25" s="185">
        <f>D25-C25</f>
        <v>159.39999999999964</v>
      </c>
      <c r="F25" s="186">
        <f>D25/C25%</f>
        <v>106.7983110845737</v>
      </c>
      <c r="G25" s="184">
        <v>444.8</v>
      </c>
      <c r="H25" s="187">
        <v>486.2</v>
      </c>
      <c r="I25" s="185">
        <f t="shared" si="3"/>
        <v>41.39999999999998</v>
      </c>
      <c r="J25" s="186">
        <f t="shared" si="4"/>
        <v>109.30755395683452</v>
      </c>
      <c r="K25" s="191">
        <v>1899.9</v>
      </c>
      <c r="L25" s="185">
        <v>2017.9</v>
      </c>
      <c r="M25" s="185">
        <f t="shared" si="5"/>
        <v>118</v>
      </c>
      <c r="N25" s="186">
        <f t="shared" si="6"/>
        <v>106.21085320280014</v>
      </c>
    </row>
    <row r="26" spans="1:14" ht="25.5">
      <c r="A26" s="176" t="s">
        <v>39</v>
      </c>
      <c r="B26" s="323" t="s">
        <v>135</v>
      </c>
      <c r="C26" s="169">
        <f t="shared" si="8"/>
        <v>2033.4</v>
      </c>
      <c r="D26" s="170">
        <f t="shared" si="8"/>
        <v>1947.3</v>
      </c>
      <c r="E26" s="170">
        <f t="shared" si="7"/>
        <v>-86.10000000000014</v>
      </c>
      <c r="F26" s="171">
        <f>D26/C26%</f>
        <v>95.7657125995869</v>
      </c>
      <c r="G26" s="172">
        <v>2033.4</v>
      </c>
      <c r="H26" s="180">
        <v>1947.3</v>
      </c>
      <c r="I26" s="174">
        <f t="shared" si="3"/>
        <v>-86.10000000000014</v>
      </c>
      <c r="J26" s="175">
        <f t="shared" si="4"/>
        <v>95.7657125995869</v>
      </c>
      <c r="K26" s="192"/>
      <c r="L26" s="174"/>
      <c r="M26" s="174">
        <f t="shared" si="5"/>
        <v>0</v>
      </c>
      <c r="N26" s="175"/>
    </row>
    <row r="27" spans="1:14" ht="15">
      <c r="A27" s="176" t="s">
        <v>99</v>
      </c>
      <c r="B27" s="323"/>
      <c r="C27" s="169">
        <f t="shared" si="8"/>
        <v>540.1</v>
      </c>
      <c r="D27" s="170">
        <f t="shared" si="8"/>
        <v>828</v>
      </c>
      <c r="E27" s="170">
        <f t="shared" si="7"/>
        <v>287.9</v>
      </c>
      <c r="F27" s="171"/>
      <c r="G27" s="172">
        <v>448.3</v>
      </c>
      <c r="H27" s="173">
        <v>628</v>
      </c>
      <c r="I27" s="174">
        <f t="shared" si="3"/>
        <v>179.7</v>
      </c>
      <c r="J27" s="175">
        <f t="shared" si="4"/>
        <v>140.08476466651794</v>
      </c>
      <c r="K27" s="192">
        <v>91.8</v>
      </c>
      <c r="L27" s="174">
        <v>200</v>
      </c>
      <c r="M27" s="174">
        <f t="shared" si="5"/>
        <v>108.2</v>
      </c>
      <c r="N27" s="175"/>
    </row>
    <row r="28" spans="1:14" ht="25.5">
      <c r="A28" s="193" t="s">
        <v>42</v>
      </c>
      <c r="B28" s="325" t="s">
        <v>136</v>
      </c>
      <c r="C28" s="169">
        <f t="shared" si="8"/>
        <v>24908.100000000002</v>
      </c>
      <c r="D28" s="170">
        <f t="shared" si="8"/>
        <v>28959.4</v>
      </c>
      <c r="E28" s="170">
        <f t="shared" si="7"/>
        <v>4051.2999999999993</v>
      </c>
      <c r="F28" s="171"/>
      <c r="G28" s="182">
        <f>SUM(G29:G30)</f>
        <v>19867.100000000002</v>
      </c>
      <c r="H28" s="174">
        <f>SUM(H29:H30)</f>
        <v>22048.7</v>
      </c>
      <c r="I28" s="174">
        <f t="shared" si="3"/>
        <v>2181.5999999999985</v>
      </c>
      <c r="J28" s="175"/>
      <c r="K28" s="182">
        <f>SUM(K29:K30)</f>
        <v>5041</v>
      </c>
      <c r="L28" s="174">
        <f>SUM(L29:L30)</f>
        <v>6910.700000000001</v>
      </c>
      <c r="M28" s="174">
        <f t="shared" si="5"/>
        <v>1869.7000000000007</v>
      </c>
      <c r="N28" s="175"/>
    </row>
    <row r="29" spans="1:14" ht="15">
      <c r="A29" s="194" t="s">
        <v>43</v>
      </c>
      <c r="B29" s="329" t="s">
        <v>137</v>
      </c>
      <c r="C29" s="195">
        <f t="shared" si="8"/>
        <v>4882.2</v>
      </c>
      <c r="D29" s="196">
        <f t="shared" si="8"/>
        <v>6832.900000000001</v>
      </c>
      <c r="E29" s="185">
        <f t="shared" si="7"/>
        <v>1950.7000000000007</v>
      </c>
      <c r="F29" s="186"/>
      <c r="G29" s="195">
        <v>1624.7</v>
      </c>
      <c r="H29" s="197">
        <v>2432.8</v>
      </c>
      <c r="I29" s="185">
        <f t="shared" si="3"/>
        <v>808.1000000000001</v>
      </c>
      <c r="J29" s="186"/>
      <c r="K29" s="195">
        <v>3257.5</v>
      </c>
      <c r="L29" s="196">
        <v>4400.1</v>
      </c>
      <c r="M29" s="185">
        <f t="shared" si="5"/>
        <v>1142.6000000000004</v>
      </c>
      <c r="N29" s="175"/>
    </row>
    <row r="30" spans="1:14" ht="15">
      <c r="A30" s="194" t="s">
        <v>75</v>
      </c>
      <c r="B30" s="329" t="s">
        <v>138</v>
      </c>
      <c r="C30" s="198">
        <f t="shared" si="8"/>
        <v>20025.9</v>
      </c>
      <c r="D30" s="196">
        <f t="shared" si="8"/>
        <v>22126.5</v>
      </c>
      <c r="E30" s="185">
        <f t="shared" si="7"/>
        <v>2100.5999999999985</v>
      </c>
      <c r="F30" s="186"/>
      <c r="G30" s="195">
        <v>18242.4</v>
      </c>
      <c r="H30" s="197">
        <v>19615.9</v>
      </c>
      <c r="I30" s="185">
        <f t="shared" si="3"/>
        <v>1373.5</v>
      </c>
      <c r="J30" s="186"/>
      <c r="K30" s="195">
        <v>1783.5</v>
      </c>
      <c r="L30" s="196">
        <v>2510.6</v>
      </c>
      <c r="M30" s="185">
        <f t="shared" si="5"/>
        <v>727.0999999999999</v>
      </c>
      <c r="N30" s="175"/>
    </row>
    <row r="31" spans="1:14" ht="15">
      <c r="A31" s="193" t="s">
        <v>100</v>
      </c>
      <c r="B31" s="325" t="s">
        <v>139</v>
      </c>
      <c r="C31" s="199">
        <f t="shared" si="8"/>
        <v>8962.1</v>
      </c>
      <c r="D31" s="170">
        <f t="shared" si="8"/>
        <v>12932.6</v>
      </c>
      <c r="E31" s="170">
        <f t="shared" si="7"/>
        <v>3970.5</v>
      </c>
      <c r="F31" s="171">
        <f>D31/C31%</f>
        <v>144.30323250131107</v>
      </c>
      <c r="G31" s="172">
        <v>7538.4</v>
      </c>
      <c r="H31" s="173">
        <v>10925.1</v>
      </c>
      <c r="I31" s="174">
        <f t="shared" si="3"/>
        <v>3386.7000000000007</v>
      </c>
      <c r="J31" s="175">
        <f t="shared" si="4"/>
        <v>144.92597898758356</v>
      </c>
      <c r="K31" s="200">
        <v>1423.7</v>
      </c>
      <c r="L31" s="174">
        <v>2007.5</v>
      </c>
      <c r="M31" s="174">
        <f t="shared" si="5"/>
        <v>583.8</v>
      </c>
      <c r="N31" s="175">
        <f t="shared" si="6"/>
        <v>141.00582987989043</v>
      </c>
    </row>
    <row r="32" spans="1:14" ht="15">
      <c r="A32" s="178" t="s">
        <v>46</v>
      </c>
      <c r="B32" s="325" t="s">
        <v>140</v>
      </c>
      <c r="C32" s="169">
        <f t="shared" si="8"/>
        <v>0</v>
      </c>
      <c r="D32" s="170">
        <f t="shared" si="8"/>
        <v>0</v>
      </c>
      <c r="E32" s="170">
        <f t="shared" si="7"/>
        <v>0</v>
      </c>
      <c r="F32" s="171"/>
      <c r="G32" s="172"/>
      <c r="H32" s="173"/>
      <c r="I32" s="174">
        <f t="shared" si="3"/>
        <v>0</v>
      </c>
      <c r="J32" s="175"/>
      <c r="K32" s="192"/>
      <c r="L32" s="174"/>
      <c r="M32" s="174">
        <f t="shared" si="5"/>
        <v>0</v>
      </c>
      <c r="N32" s="175"/>
    </row>
    <row r="33" spans="1:14" ht="15.75">
      <c r="A33" s="201" t="s">
        <v>78</v>
      </c>
      <c r="B33" s="330"/>
      <c r="C33" s="202">
        <f>SUM(C34:C38)</f>
        <v>2781209.9999999995</v>
      </c>
      <c r="D33" s="203">
        <f>SUM(D34:D38)</f>
        <v>2761867.1</v>
      </c>
      <c r="E33" s="204">
        <f t="shared" si="7"/>
        <v>-19342.89999999944</v>
      </c>
      <c r="F33" s="205">
        <f>D33/C33%</f>
        <v>99.30451494133851</v>
      </c>
      <c r="G33" s="202">
        <f>SUM(G34:G38)</f>
        <v>2662284.4</v>
      </c>
      <c r="H33" s="206">
        <f>SUM(H34:H38)</f>
        <v>2643092.4000000004</v>
      </c>
      <c r="I33" s="204">
        <f t="shared" si="3"/>
        <v>-19191.999999999534</v>
      </c>
      <c r="J33" s="205">
        <f t="shared" si="4"/>
        <v>99.27911533418445</v>
      </c>
      <c r="K33" s="207">
        <f>SUM(K34:K38)</f>
        <v>534639.8</v>
      </c>
      <c r="L33" s="203">
        <f>SUM(L34:L38)</f>
        <v>524255.89999999997</v>
      </c>
      <c r="M33" s="204">
        <f t="shared" si="5"/>
        <v>-10383.900000000081</v>
      </c>
      <c r="N33" s="205">
        <f t="shared" si="6"/>
        <v>98.05777646931634</v>
      </c>
    </row>
    <row r="34" spans="1:14" ht="15">
      <c r="A34" s="120" t="s">
        <v>79</v>
      </c>
      <c r="B34" s="331" t="s">
        <v>141</v>
      </c>
      <c r="C34" s="169">
        <f aca="true" t="shared" si="9" ref="C34:D36">G34+K34</f>
        <v>344630.6</v>
      </c>
      <c r="D34" s="170">
        <f t="shared" si="9"/>
        <v>341928.69999999995</v>
      </c>
      <c r="E34" s="170">
        <f t="shared" si="7"/>
        <v>-2701.9000000000233</v>
      </c>
      <c r="F34" s="171">
        <f>D34/C34%</f>
        <v>99.21600113280712</v>
      </c>
      <c r="G34" s="208">
        <v>255679.6</v>
      </c>
      <c r="H34" s="209">
        <v>253122.8</v>
      </c>
      <c r="I34" s="174">
        <f t="shared" si="3"/>
        <v>-2556.8000000000175</v>
      </c>
      <c r="J34" s="175">
        <f t="shared" si="4"/>
        <v>98.99999843554197</v>
      </c>
      <c r="K34" s="208">
        <v>88951</v>
      </c>
      <c r="L34" s="210">
        <v>88805.9</v>
      </c>
      <c r="M34" s="174">
        <f t="shared" si="5"/>
        <v>-145.10000000000582</v>
      </c>
      <c r="N34" s="175">
        <f t="shared" si="6"/>
        <v>99.83687648255781</v>
      </c>
    </row>
    <row r="35" spans="1:14" ht="15">
      <c r="A35" s="120" t="s">
        <v>101</v>
      </c>
      <c r="B35" s="331" t="s">
        <v>142</v>
      </c>
      <c r="C35" s="169">
        <f t="shared" si="9"/>
        <v>642467.2999999999</v>
      </c>
      <c r="D35" s="170">
        <f t="shared" si="9"/>
        <v>627561.4</v>
      </c>
      <c r="E35" s="170">
        <f t="shared" si="7"/>
        <v>-14905.899999999907</v>
      </c>
      <c r="F35" s="171">
        <f>D35/C35%</f>
        <v>97.67989748272015</v>
      </c>
      <c r="G35" s="208">
        <v>636241.7</v>
      </c>
      <c r="H35" s="209">
        <v>621335.8</v>
      </c>
      <c r="I35" s="174">
        <f t="shared" si="3"/>
        <v>-14905.899999999907</v>
      </c>
      <c r="J35" s="175">
        <f t="shared" si="4"/>
        <v>97.65719537087872</v>
      </c>
      <c r="K35" s="208">
        <v>6225.6</v>
      </c>
      <c r="L35" s="210">
        <v>6225.6</v>
      </c>
      <c r="M35" s="174">
        <f t="shared" si="5"/>
        <v>0</v>
      </c>
      <c r="N35" s="175"/>
    </row>
    <row r="36" spans="1:14" ht="15">
      <c r="A36" s="120" t="s">
        <v>102</v>
      </c>
      <c r="B36" s="331" t="s">
        <v>143</v>
      </c>
      <c r="C36" s="169">
        <f t="shared" si="9"/>
        <v>1703402.7</v>
      </c>
      <c r="D36" s="169">
        <f t="shared" si="9"/>
        <v>1697904.4000000001</v>
      </c>
      <c r="E36" s="170">
        <f t="shared" si="7"/>
        <v>-5498.299999999814</v>
      </c>
      <c r="F36" s="171">
        <f>D36/C36%</f>
        <v>99.67721666755608</v>
      </c>
      <c r="G36" s="211">
        <v>1701087.9</v>
      </c>
      <c r="H36" s="212">
        <v>1695589.6</v>
      </c>
      <c r="I36" s="174">
        <f t="shared" si="3"/>
        <v>-5498.299999999814</v>
      </c>
      <c r="J36" s="175">
        <f t="shared" si="4"/>
        <v>99.67677743166594</v>
      </c>
      <c r="K36" s="211">
        <v>2314.8</v>
      </c>
      <c r="L36" s="213">
        <v>2314.8</v>
      </c>
      <c r="M36" s="174">
        <f t="shared" si="5"/>
        <v>0</v>
      </c>
      <c r="N36" s="175">
        <f t="shared" si="6"/>
        <v>100</v>
      </c>
    </row>
    <row r="37" spans="1:14" ht="15">
      <c r="A37" s="214" t="s">
        <v>81</v>
      </c>
      <c r="B37" s="331"/>
      <c r="C37" s="169">
        <v>90701.4</v>
      </c>
      <c r="D37" s="170">
        <v>94461.6</v>
      </c>
      <c r="E37" s="170">
        <f t="shared" si="7"/>
        <v>3760.2000000000116</v>
      </c>
      <c r="F37" s="171">
        <f>D37/C37%</f>
        <v>104.14569124622113</v>
      </c>
      <c r="G37" s="211">
        <v>69275.2</v>
      </c>
      <c r="H37" s="212">
        <v>73041.2</v>
      </c>
      <c r="I37" s="174">
        <f t="shared" si="3"/>
        <v>3766</v>
      </c>
      <c r="J37" s="175">
        <f t="shared" si="4"/>
        <v>105.43628888837564</v>
      </c>
      <c r="K37" s="211">
        <v>437140.4</v>
      </c>
      <c r="L37" s="213">
        <v>426901.6</v>
      </c>
      <c r="M37" s="174">
        <f t="shared" si="5"/>
        <v>-10238.800000000047</v>
      </c>
      <c r="N37" s="175">
        <f t="shared" si="6"/>
        <v>97.65777768424056</v>
      </c>
    </row>
    <row r="38" spans="1:14" ht="15">
      <c r="A38" s="214" t="s">
        <v>82</v>
      </c>
      <c r="B38" s="331" t="s">
        <v>144</v>
      </c>
      <c r="C38" s="169">
        <f>G38+K38</f>
        <v>8</v>
      </c>
      <c r="D38" s="170">
        <f>H38+L38</f>
        <v>11</v>
      </c>
      <c r="E38" s="170">
        <f t="shared" si="7"/>
        <v>3</v>
      </c>
      <c r="F38" s="171"/>
      <c r="G38" s="211"/>
      <c r="H38" s="212">
        <v>3</v>
      </c>
      <c r="I38" s="174">
        <f t="shared" si="3"/>
        <v>3</v>
      </c>
      <c r="J38" s="175"/>
      <c r="K38" s="215">
        <v>8</v>
      </c>
      <c r="L38" s="213">
        <v>8</v>
      </c>
      <c r="M38" s="174">
        <f t="shared" si="5"/>
        <v>0</v>
      </c>
      <c r="N38" s="175">
        <f t="shared" si="6"/>
        <v>100</v>
      </c>
    </row>
    <row r="39" spans="1:14" ht="16.5" thickBot="1">
      <c r="A39" s="216" t="s">
        <v>83</v>
      </c>
      <c r="B39" s="332"/>
      <c r="C39" s="217">
        <f>C8+C33</f>
        <v>3436626.8999999994</v>
      </c>
      <c r="D39" s="217">
        <f>D8+D33</f>
        <v>3463335.2</v>
      </c>
      <c r="E39" s="218">
        <f>D39-C39</f>
        <v>26708.300000000745</v>
      </c>
      <c r="F39" s="219">
        <f>D39/C39%</f>
        <v>100.77716612181558</v>
      </c>
      <c r="G39" s="217">
        <f>G8+G33</f>
        <v>3147843</v>
      </c>
      <c r="H39" s="217">
        <f>H8+H33</f>
        <v>3166360.1000000006</v>
      </c>
      <c r="I39" s="218">
        <f t="shared" si="3"/>
        <v>18517.10000000056</v>
      </c>
      <c r="J39" s="219">
        <f t="shared" si="4"/>
        <v>100.58824725375442</v>
      </c>
      <c r="K39" s="217">
        <f>K8+K33</f>
        <v>704498.4</v>
      </c>
      <c r="L39" s="217">
        <f>L8+L33</f>
        <v>702456.6</v>
      </c>
      <c r="M39" s="218">
        <f t="shared" si="5"/>
        <v>-2041.8000000000466</v>
      </c>
      <c r="N39" s="219">
        <f t="shared" si="6"/>
        <v>99.71017677258031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2019-03-26T12:30:08Z</dcterms:modified>
  <cp:category/>
  <cp:version/>
  <cp:contentType/>
  <cp:contentStatus/>
</cp:coreProperties>
</file>